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315" windowHeight="7425" activeTab="3"/>
  </bookViews>
  <sheets>
    <sheet name="PT1 A" sheetId="1" r:id="rId1"/>
    <sheet name="PT1 B" sheetId="2" r:id="rId2"/>
    <sheet name="PT 2" sheetId="3" r:id="rId3"/>
    <sheet name="Nt" sheetId="4" r:id="rId4"/>
  </sheets>
  <externalReferences>
    <externalReference r:id="rId5"/>
  </externalReferences>
  <definedNames>
    <definedName name="_xlnm.Print_Area" localSheetId="3">Nt!$A$2:$M$28</definedName>
    <definedName name="_xlnm.Print_Area" localSheetId="2">'PT 2'!#REF!</definedName>
    <definedName name="_xlnm.Print_Area" localSheetId="0">'PT1 A'!$B$9:$R$32</definedName>
    <definedName name="_xlnm.Print_Area" localSheetId="1">'PT1 B'!$B$9:$S$51</definedName>
    <definedName name="_xlnm.Print_Titles" localSheetId="2">'PT 2'!#REF!</definedName>
    <definedName name="_xlnm.Print_Titles" localSheetId="0">'PT1 A'!$9:$10</definedName>
    <definedName name="_xlnm.Print_Titles" localSheetId="1">'PT1 B'!$9:$10</definedName>
  </definedNames>
  <calcPr calcId="145621"/>
</workbook>
</file>

<file path=xl/calcChain.xml><?xml version="1.0" encoding="utf-8"?>
<calcChain xmlns="http://schemas.openxmlformats.org/spreadsheetml/2006/main">
  <c r="N96" i="3" l="1"/>
  <c r="N95" i="3"/>
  <c r="N83" i="3"/>
  <c r="N85" i="3"/>
  <c r="N81" i="3"/>
  <c r="N73" i="3"/>
  <c r="N76" i="3"/>
  <c r="N75" i="3"/>
  <c r="N71" i="3"/>
  <c r="N66" i="3"/>
  <c r="N65" i="3"/>
  <c r="N63" i="3"/>
  <c r="N56" i="3"/>
  <c r="N55" i="3"/>
  <c r="N51" i="3"/>
  <c r="N20" i="3"/>
  <c r="H45" i="3" l="1"/>
  <c r="H11" i="3"/>
  <c r="Q96" i="3"/>
  <c r="P96" i="3" s="1"/>
  <c r="J96" i="3"/>
  <c r="Q95" i="3"/>
  <c r="R95" i="3" s="1"/>
  <c r="J95" i="3"/>
  <c r="J94" i="3"/>
  <c r="Q93" i="3"/>
  <c r="R93" i="3" s="1"/>
  <c r="O93" i="3" s="1"/>
  <c r="O92" i="3"/>
  <c r="H92" i="3"/>
  <c r="G92" i="3"/>
  <c r="Q91" i="3"/>
  <c r="R91" i="3" s="1"/>
  <c r="J89" i="3"/>
  <c r="K88" i="3"/>
  <c r="Q86" i="3"/>
  <c r="R86" i="3" s="1"/>
  <c r="O86" i="3" s="1"/>
  <c r="J86" i="3"/>
  <c r="Q85" i="3"/>
  <c r="R85" i="3" s="1"/>
  <c r="J85" i="3"/>
  <c r="J84" i="3"/>
  <c r="Q83" i="3"/>
  <c r="R83" i="3" s="1"/>
  <c r="O83" i="3" s="1"/>
  <c r="O82" i="3"/>
  <c r="H82" i="3"/>
  <c r="G82" i="3"/>
  <c r="Q81" i="3"/>
  <c r="R81" i="3" s="1"/>
  <c r="J79" i="3"/>
  <c r="K78" i="3"/>
  <c r="Q76" i="3"/>
  <c r="R76" i="3" s="1"/>
  <c r="O76" i="3" s="1"/>
  <c r="J76" i="3"/>
  <c r="Q75" i="3"/>
  <c r="R75" i="3" s="1"/>
  <c r="J75" i="3"/>
  <c r="J74" i="3"/>
  <c r="Q73" i="3"/>
  <c r="R73" i="3" s="1"/>
  <c r="O73" i="3" s="1"/>
  <c r="O72" i="3"/>
  <c r="H72" i="3"/>
  <c r="G72" i="3"/>
  <c r="Q71" i="3"/>
  <c r="R71" i="3" s="1"/>
  <c r="J69" i="3"/>
  <c r="K68" i="3"/>
  <c r="Q66" i="3"/>
  <c r="R66" i="3" s="1"/>
  <c r="O66" i="3" s="1"/>
  <c r="J66" i="3"/>
  <c r="Q65" i="3"/>
  <c r="R65" i="3" s="1"/>
  <c r="J65" i="3"/>
  <c r="J64" i="3"/>
  <c r="Q63" i="3"/>
  <c r="R63" i="3" s="1"/>
  <c r="O63" i="3" s="1"/>
  <c r="O62" i="3"/>
  <c r="H62" i="3"/>
  <c r="G62" i="3"/>
  <c r="Q61" i="3"/>
  <c r="R61" i="3" s="1"/>
  <c r="J59" i="3"/>
  <c r="K58" i="3"/>
  <c r="Q56" i="3"/>
  <c r="P56" i="3" s="1"/>
  <c r="J56" i="3"/>
  <c r="Q55" i="3"/>
  <c r="R55" i="3" s="1"/>
  <c r="J55" i="3"/>
  <c r="J54" i="3"/>
  <c r="Q53" i="3"/>
  <c r="R53" i="3" s="1"/>
  <c r="O53" i="3" s="1"/>
  <c r="O52" i="3"/>
  <c r="H52" i="3"/>
  <c r="G52" i="3"/>
  <c r="Q51" i="3"/>
  <c r="R51" i="3" s="1"/>
  <c r="J49" i="3"/>
  <c r="K48" i="3"/>
  <c r="C35" i="3"/>
  <c r="B34" i="3"/>
  <c r="J25" i="3"/>
  <c r="J24" i="3"/>
  <c r="J23" i="3"/>
  <c r="H21" i="3"/>
  <c r="G21" i="3"/>
  <c r="Q20" i="3"/>
  <c r="R20" i="3" s="1"/>
  <c r="Q19" i="3"/>
  <c r="R19" i="3" s="1"/>
  <c r="P18" i="3"/>
  <c r="Q17" i="3"/>
  <c r="P17" i="3" s="1"/>
  <c r="Q16" i="3"/>
  <c r="R16" i="3" s="1"/>
  <c r="C16" i="3"/>
  <c r="B15" i="3"/>
  <c r="B9" i="3"/>
  <c r="I73" i="3" l="1"/>
  <c r="S81" i="3"/>
  <c r="S83" i="3" s="1"/>
  <c r="P95" i="3"/>
  <c r="P86" i="3"/>
  <c r="I22" i="3"/>
  <c r="P93" i="3"/>
  <c r="J73" i="3"/>
  <c r="P75" i="3"/>
  <c r="R56" i="3"/>
  <c r="O56" i="3" s="1"/>
  <c r="J53" i="3"/>
  <c r="I53" i="3"/>
  <c r="P63" i="3"/>
  <c r="P65" i="3"/>
  <c r="J93" i="3"/>
  <c r="J63" i="3"/>
  <c r="P76" i="3"/>
  <c r="P81" i="3"/>
  <c r="S75" i="3"/>
  <c r="S76" i="3" s="1"/>
  <c r="I83" i="3"/>
  <c r="O20" i="3"/>
  <c r="P16" i="3"/>
  <c r="P20" i="3"/>
  <c r="R17" i="3"/>
  <c r="O17" i="3" s="1"/>
  <c r="R96" i="3"/>
  <c r="O96" i="3" s="1"/>
  <c r="P19" i="3"/>
  <c r="P83" i="3"/>
  <c r="I93" i="3"/>
  <c r="P53" i="3"/>
  <c r="P55" i="3"/>
  <c r="P61" i="3"/>
  <c r="I63" i="3"/>
  <c r="P71" i="3"/>
  <c r="J83" i="3"/>
  <c r="O16" i="3"/>
  <c r="O55" i="3"/>
  <c r="S61" i="3"/>
  <c r="S63" i="3" s="1"/>
  <c r="O61" i="3"/>
  <c r="I58" i="3" s="1"/>
  <c r="S71" i="3"/>
  <c r="S73" i="3" s="1"/>
  <c r="O71" i="3"/>
  <c r="I68" i="3" s="1"/>
  <c r="S91" i="3"/>
  <c r="S93" i="3" s="1"/>
  <c r="O91" i="3"/>
  <c r="I88" i="3" s="1"/>
  <c r="O95" i="3"/>
  <c r="S85" i="3"/>
  <c r="S86" i="3" s="1"/>
  <c r="O85" i="3"/>
  <c r="I80" i="3" s="1"/>
  <c r="S19" i="3"/>
  <c r="S20" i="3" s="1"/>
  <c r="O19" i="3"/>
  <c r="S65" i="3"/>
  <c r="S66" i="3" s="1"/>
  <c r="O65" i="3"/>
  <c r="I60" i="3" s="1"/>
  <c r="S51" i="3"/>
  <c r="S53" i="3" s="1"/>
  <c r="O51" i="3"/>
  <c r="I48" i="3" s="1"/>
  <c r="P51" i="3"/>
  <c r="P66" i="3"/>
  <c r="P73" i="3"/>
  <c r="P85" i="3"/>
  <c r="P91" i="3"/>
  <c r="O75" i="3"/>
  <c r="I70" i="3" s="1"/>
  <c r="O81" i="3"/>
  <c r="I78" i="3" s="1"/>
  <c r="Q19" i="1"/>
  <c r="H27" i="1"/>
  <c r="I27" i="1"/>
  <c r="J27" i="1"/>
  <c r="K27" i="1"/>
  <c r="L27" i="1"/>
  <c r="M27" i="1"/>
  <c r="N27" i="1"/>
  <c r="O27" i="1"/>
  <c r="P27" i="1"/>
  <c r="Q27" i="1"/>
  <c r="H28" i="1"/>
  <c r="I28" i="1"/>
  <c r="J28" i="1"/>
  <c r="K28" i="1"/>
  <c r="L28" i="1"/>
  <c r="M28" i="1"/>
  <c r="N28" i="1"/>
  <c r="O28" i="1"/>
  <c r="P28" i="1"/>
  <c r="Q28" i="1"/>
  <c r="H29" i="1"/>
  <c r="H30" i="1" s="1"/>
  <c r="I29" i="1"/>
  <c r="I30" i="1" s="1"/>
  <c r="J29" i="1"/>
  <c r="J30" i="1" s="1"/>
  <c r="K29" i="1"/>
  <c r="K30" i="1" s="1"/>
  <c r="L29" i="1"/>
  <c r="L30" i="1" s="1"/>
  <c r="M29" i="1"/>
  <c r="M30" i="1" s="1"/>
  <c r="N29" i="1"/>
  <c r="N30" i="1" s="1"/>
  <c r="O29" i="1"/>
  <c r="O30" i="1" s="1"/>
  <c r="P29" i="1"/>
  <c r="P30" i="1" s="1"/>
  <c r="Q29" i="1"/>
  <c r="Q30" i="1" s="1"/>
  <c r="I50" i="3" l="1"/>
  <c r="G57" i="3" s="1"/>
  <c r="S55" i="3"/>
  <c r="S56" i="3" s="1"/>
  <c r="G87" i="3"/>
  <c r="I15" i="3"/>
  <c r="I13" i="3"/>
  <c r="S16" i="3"/>
  <c r="S17" i="3" s="1"/>
  <c r="G67" i="3"/>
  <c r="I90" i="3"/>
  <c r="G97" i="3" s="1"/>
  <c r="S95" i="3"/>
  <c r="S96" i="3" s="1"/>
  <c r="G77" i="3"/>
  <c r="T27" i="2"/>
  <c r="T28" i="2"/>
  <c r="T29" i="2"/>
  <c r="T30" i="2"/>
  <c r="T31" i="2"/>
  <c r="T32" i="2"/>
  <c r="T33" i="2"/>
  <c r="T34" i="2"/>
  <c r="T35" i="2"/>
  <c r="T36" i="2"/>
  <c r="T37" i="2"/>
  <c r="T26" i="2"/>
  <c r="G98" i="3" l="1"/>
  <c r="G26" i="3"/>
  <c r="G38" i="2"/>
  <c r="H38" i="2"/>
  <c r="I38" i="2"/>
  <c r="J38" i="2"/>
  <c r="K38" i="2"/>
  <c r="L38" i="2"/>
  <c r="M38" i="2"/>
  <c r="N38" i="2"/>
  <c r="O38" i="2"/>
  <c r="P38" i="2"/>
  <c r="Q38" i="2"/>
  <c r="R38" i="2"/>
  <c r="T38" i="2"/>
  <c r="G100" i="3" l="1"/>
  <c r="C8" i="4" s="1"/>
  <c r="G39" i="2"/>
  <c r="G40" i="2" s="1"/>
  <c r="H39" i="2"/>
  <c r="H40" i="2" s="1"/>
  <c r="H41" i="2" s="1"/>
  <c r="I39" i="2"/>
  <c r="I40" i="2" s="1"/>
  <c r="J39" i="2"/>
  <c r="J40" i="2" s="1"/>
  <c r="J41" i="2" s="1"/>
  <c r="K39" i="2"/>
  <c r="K40" i="2" s="1"/>
  <c r="K41" i="2" s="1"/>
  <c r="M39" i="2"/>
  <c r="M40" i="2" s="1"/>
  <c r="N39" i="2"/>
  <c r="N40" i="2" s="1"/>
  <c r="O39" i="2"/>
  <c r="O40" i="2" s="1"/>
  <c r="P39" i="2"/>
  <c r="P40" i="2" s="1"/>
  <c r="Q39" i="2"/>
  <c r="Q40" i="2" s="1"/>
  <c r="R39" i="2"/>
  <c r="R40" i="2" s="1"/>
  <c r="L39" i="2"/>
  <c r="L40" i="2" s="1"/>
  <c r="I41" i="2" l="1"/>
  <c r="P41" i="2"/>
  <c r="R41" i="2"/>
  <c r="Q41" i="2"/>
  <c r="N41" i="2"/>
  <c r="M41" i="2"/>
  <c r="T40" i="2" l="1"/>
  <c r="O41" i="2"/>
  <c r="B3" i="4"/>
  <c r="B10" i="2"/>
  <c r="T39" i="2"/>
  <c r="Q20" i="2"/>
  <c r="R31" i="1" l="1"/>
  <c r="G31" i="1"/>
  <c r="L41" i="2"/>
  <c r="G41" i="2"/>
  <c r="C49" i="2"/>
  <c r="C50" i="2" s="1"/>
  <c r="E49" i="2"/>
  <c r="E50" i="2" s="1"/>
  <c r="D49" i="2"/>
  <c r="D50" i="2" s="1"/>
  <c r="F49" i="2"/>
  <c r="F50" i="2" s="1"/>
  <c r="G49" i="2"/>
  <c r="G50" i="2" s="1"/>
  <c r="H32" i="1" l="1"/>
  <c r="C51" i="2"/>
  <c r="S42" i="2"/>
  <c r="F42" i="2"/>
  <c r="G43" i="2" l="1"/>
  <c r="C7" i="4" s="1"/>
  <c r="C6" i="4"/>
  <c r="C11" i="4" l="1"/>
</calcChain>
</file>

<file path=xl/sharedStrings.xml><?xml version="1.0" encoding="utf-8"?>
<sst xmlns="http://schemas.openxmlformats.org/spreadsheetml/2006/main" count="350" uniqueCount="111">
  <si>
    <t>Pontos por atestado</t>
  </si>
  <si>
    <t>Porte dos Serviços</t>
  </si>
  <si>
    <t xml:space="preserve">PT 1AI </t>
  </si>
  <si>
    <t>Atestado</t>
  </si>
  <si>
    <t>Atestados</t>
  </si>
  <si>
    <t>Pontuação máxima</t>
  </si>
  <si>
    <t>PT1 A - Experiência Geral da Empresa</t>
  </si>
  <si>
    <t>Pontos</t>
  </si>
  <si>
    <t>Grupo de atestados</t>
  </si>
  <si>
    <t>PT1 B - Experiência Específica da Empresa</t>
  </si>
  <si>
    <t xml:space="preserve">PT 1BI </t>
  </si>
  <si>
    <t>Túneis</t>
  </si>
  <si>
    <t>Est. Bomb.</t>
  </si>
  <si>
    <t>Barragens</t>
  </si>
  <si>
    <t>Tubulações</t>
  </si>
  <si>
    <t>Canais</t>
  </si>
  <si>
    <t>Um mesmo atestado pode atender simultaneamente a mais de um tipo de obra</t>
  </si>
  <si>
    <t>x</t>
  </si>
  <si>
    <t>Atendimento ao item</t>
  </si>
  <si>
    <t>Pontuação</t>
  </si>
  <si>
    <t>Pontos a descontar</t>
  </si>
  <si>
    <t>Total de pontos a descontar</t>
  </si>
  <si>
    <t>Coluna com erro</t>
  </si>
  <si>
    <t>Total de pontos</t>
  </si>
  <si>
    <t xml:space="preserve">Experiência Geral </t>
  </si>
  <si>
    <t>Experiência Específica</t>
  </si>
  <si>
    <t>Adequação Currículo</t>
  </si>
  <si>
    <t>Item de Avaliação do Currículo</t>
  </si>
  <si>
    <t>Função</t>
  </si>
  <si>
    <t>Engenheiro Civil Sênior</t>
  </si>
  <si>
    <t>Engenheiro de Obras Civis</t>
  </si>
  <si>
    <t>Engenheiro Geotécnico</t>
  </si>
  <si>
    <t>Engenheiro Mecânico Sênior</t>
  </si>
  <si>
    <t>Engenheiro Mecânico</t>
  </si>
  <si>
    <t>Engenheiro Eletricista Sênior</t>
  </si>
  <si>
    <t>Engenheiro Eletricista</t>
  </si>
  <si>
    <t>Geólogo Sênior</t>
  </si>
  <si>
    <t>Geólogo (Túnel)</t>
  </si>
  <si>
    <t>Itens Avaliados</t>
  </si>
  <si>
    <t xml:space="preserve">Total PT1 B = </t>
  </si>
  <si>
    <t>Senha da planilha (Só para o caso de necessidade de alteração nas fórmulas)= teste (voltar com a mesma senha após alteração)</t>
  </si>
  <si>
    <t>Intruções</t>
  </si>
  <si>
    <t>pontos</t>
  </si>
  <si>
    <t>Tipo de obra</t>
  </si>
  <si>
    <t xml:space="preserve">Total PT1 A = </t>
  </si>
  <si>
    <t>Se uma coluna de atestados estiver vermelha, há erro</t>
  </si>
  <si>
    <t xml:space="preserve">PT 1B = </t>
  </si>
  <si>
    <t xml:space="preserve">PT 1A = </t>
  </si>
  <si>
    <t>Membro</t>
  </si>
  <si>
    <t>Total do Currículo</t>
  </si>
  <si>
    <t xml:space="preserve">Total PT 2 = </t>
  </si>
  <si>
    <t xml:space="preserve">PT 2 = </t>
  </si>
  <si>
    <t xml:space="preserve">Nt = </t>
  </si>
  <si>
    <t>Licitante:</t>
  </si>
  <si>
    <t>Informe o nome do Licitante</t>
  </si>
  <si>
    <t xml:space="preserve">Total PT 2 - B = </t>
  </si>
  <si>
    <t>PT 2 - B - Membros da Equipe Chave</t>
  </si>
  <si>
    <t>PT 2 - A - Coordenador Residente</t>
  </si>
  <si>
    <t>Doutorado</t>
  </si>
  <si>
    <t>Mestrado</t>
  </si>
  <si>
    <t>Pós Graduação</t>
  </si>
  <si>
    <t xml:space="preserve">Total PT 2 - A = </t>
  </si>
  <si>
    <t>Título</t>
  </si>
  <si>
    <t>Supervisão, Fiscalização ou Engenharia do Proprietário</t>
  </si>
  <si>
    <t>Gerenciamento ou ATO</t>
  </si>
  <si>
    <t>Se a célula da pontuação estiver assinalado com erro, houve preenchimento de um atestado para mais de um tipo de porte</t>
  </si>
  <si>
    <t>PT 1BII</t>
  </si>
  <si>
    <t>Marque com x as células em laranja e em verde, de acordo com o atestado apresentado, para a pontuação de PT 1B1 e PT 1BII, respectivamente. Cada par de colunas (laranja e verde) corresponde a um atestado. Um mesmo atestado pode atender a pontuação para PT 1 BI e PT 1 BII. O número máximo de atestados a serem aceitos é seis.</t>
  </si>
  <si>
    <t>Atestado 1</t>
  </si>
  <si>
    <t>Atestado 2</t>
  </si>
  <si>
    <t>Atestado 3</t>
  </si>
  <si>
    <t>Atestado 4</t>
  </si>
  <si>
    <t>Atestado 5</t>
  </si>
  <si>
    <t>Atestado 6</t>
  </si>
  <si>
    <t>Porte (R$)</t>
  </si>
  <si>
    <t>Número/Código</t>
  </si>
  <si>
    <t>Estações Bomb.</t>
  </si>
  <si>
    <t>Contratos com montante acima de</t>
  </si>
  <si>
    <t>Contratos com montante até</t>
  </si>
  <si>
    <t>Preencha a tabela de atestados.</t>
  </si>
  <si>
    <t>Outro Compatível</t>
  </si>
  <si>
    <t>e</t>
  </si>
  <si>
    <t>Contratos com montante entre</t>
  </si>
  <si>
    <t>Folhas</t>
  </si>
  <si>
    <t>Instruções</t>
  </si>
  <si>
    <t>Marque com X na coluna de atestado</t>
  </si>
  <si>
    <t>Preencha a tabela de atestados</t>
  </si>
  <si>
    <t>Engenheiro Residente</t>
  </si>
  <si>
    <t>Código/Descrição</t>
  </si>
  <si>
    <t>Esperiência Específica</t>
  </si>
  <si>
    <t>Experiência Geral</t>
  </si>
  <si>
    <t>Se o valor do contrato referente ao atestado for inferior ao limite estabelecido no edital a célula respectiva ficará em vermelho e será definida nota zero para o atestado.</t>
  </si>
  <si>
    <t>-</t>
  </si>
  <si>
    <t>Graduação Acadêmica</t>
  </si>
  <si>
    <t>Pontuação Máxima</t>
  </si>
  <si>
    <r>
      <t xml:space="preserve">Pós graduação </t>
    </r>
    <r>
      <rPr>
        <i/>
        <sz val="12"/>
        <color theme="1"/>
        <rFont val="Calibri"/>
        <family val="2"/>
        <scheme val="minor"/>
      </rPr>
      <t>Lato Sensu</t>
    </r>
  </si>
  <si>
    <t>Tem erro?</t>
  </si>
  <si>
    <t>PT 1AII</t>
  </si>
  <si>
    <t>Máximo</t>
  </si>
  <si>
    <t>Coordenador de Engenharia</t>
  </si>
  <si>
    <t>Porte dos serviços</t>
  </si>
  <si>
    <t>Até</t>
  </si>
  <si>
    <t xml:space="preserve">Acima de </t>
  </si>
  <si>
    <t>Demais membros da equipe chave</t>
  </si>
  <si>
    <t>Engevix</t>
  </si>
  <si>
    <t>65/2011</t>
  </si>
  <si>
    <t>BA20110001199</t>
  </si>
  <si>
    <t>01895/2006</t>
  </si>
  <si>
    <t>4495/2010</t>
  </si>
  <si>
    <t>017475/2007</t>
  </si>
  <si>
    <t>02377/2011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</si>
</sst>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4"/>
      <color rgb="FF3F3F3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B9D08C"/>
        <bgColor indexed="64"/>
      </patternFill>
    </fill>
    <fill>
      <patternFill patternType="solid">
        <fgColor rgb="FFF9B277"/>
        <bgColor indexed="64"/>
      </patternFill>
    </fill>
    <fill>
      <patternFill patternType="solid">
        <fgColor theme="4" tint="0.39994506668294322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theme="0" tint="-0.34998626667073579"/>
      </top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rgb="FF7F7F7F"/>
      </right>
      <top style="thin">
        <color theme="0" tint="-0.34998626667073579"/>
      </top>
      <bottom style="thin">
        <color rgb="FF7F7F7F"/>
      </bottom>
      <diagonal/>
    </border>
    <border>
      <left style="thin">
        <color rgb="FF7F7F7F"/>
      </left>
      <right/>
      <top style="thin">
        <color theme="0" tint="-0.34998626667073579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34998626667073579"/>
      </bottom>
      <diagonal/>
    </border>
  </borders>
  <cellStyleXfs count="12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26" applyNumberFormat="0" applyAlignment="0" applyProtection="0"/>
  </cellStyleXfs>
  <cellXfs count="405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Font="1"/>
    <xf numFmtId="0" fontId="5" fillId="0" borderId="0" xfId="0" applyFont="1"/>
    <xf numFmtId="0" fontId="0" fillId="0" borderId="0" xfId="0" applyFont="1" applyBorder="1"/>
    <xf numFmtId="0" fontId="7" fillId="0" borderId="0" xfId="0" applyFont="1"/>
    <xf numFmtId="0" fontId="6" fillId="0" borderId="0" xfId="0" applyFont="1" applyAlignment="1"/>
    <xf numFmtId="0" fontId="4" fillId="8" borderId="3" xfId="7" applyFont="1" applyBorder="1" applyAlignment="1">
      <alignment horizontal="right"/>
    </xf>
    <xf numFmtId="2" fontId="4" fillId="8" borderId="5" xfId="7" applyNumberFormat="1" applyFont="1" applyBorder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left"/>
    </xf>
    <xf numFmtId="0" fontId="3" fillId="3" borderId="14" xfId="2" applyBorder="1" applyAlignment="1">
      <alignment horizontal="center" vertical="center"/>
    </xf>
    <xf numFmtId="2" fontId="4" fillId="8" borderId="5" xfId="7" applyNumberFormat="1" applyFont="1" applyBorder="1" applyAlignment="1"/>
    <xf numFmtId="0" fontId="3" fillId="3" borderId="19" xfId="2" applyBorder="1"/>
    <xf numFmtId="0" fontId="3" fillId="3" borderId="14" xfId="2" applyBorder="1"/>
    <xf numFmtId="0" fontId="3" fillId="3" borderId="19" xfId="2" applyBorder="1" applyAlignment="1">
      <alignment horizontal="center" vertical="center"/>
    </xf>
    <xf numFmtId="0" fontId="4" fillId="8" borderId="5" xfId="7" applyFont="1" applyBorder="1" applyAlignment="1"/>
    <xf numFmtId="0" fontId="4" fillId="8" borderId="3" xfId="7" applyFont="1" applyBorder="1" applyAlignment="1"/>
    <xf numFmtId="0" fontId="0" fillId="0" borderId="0" xfId="0" applyFont="1" applyAlignment="1">
      <alignment horizontal="center"/>
    </xf>
    <xf numFmtId="164" fontId="12" fillId="0" borderId="0" xfId="0" applyNumberFormat="1" applyFont="1" applyAlignment="1">
      <alignment horizontal="left"/>
    </xf>
    <xf numFmtId="0" fontId="2" fillId="2" borderId="36" xfId="1" applyBorder="1"/>
    <xf numFmtId="0" fontId="2" fillId="2" borderId="1" xfId="1" applyBorder="1"/>
    <xf numFmtId="164" fontId="2" fillId="2" borderId="37" xfId="1" applyNumberFormat="1" applyBorder="1"/>
    <xf numFmtId="0" fontId="2" fillId="2" borderId="39" xfId="1" applyBorder="1"/>
    <xf numFmtId="164" fontId="2" fillId="2" borderId="40" xfId="1" applyNumberFormat="1" applyBorder="1"/>
    <xf numFmtId="0" fontId="2" fillId="2" borderId="37" xfId="1" applyBorder="1"/>
    <xf numFmtId="164" fontId="2" fillId="2" borderId="40" xfId="1" applyNumberFormat="1" applyBorder="1" applyAlignment="1">
      <alignment horizontal="center"/>
    </xf>
    <xf numFmtId="0" fontId="9" fillId="12" borderId="21" xfId="8" applyFont="1" applyFill="1" applyBorder="1" applyAlignment="1">
      <alignment horizontal="center" vertical="center"/>
    </xf>
    <xf numFmtId="0" fontId="9" fillId="12" borderId="24" xfId="8" applyFont="1" applyFill="1" applyBorder="1" applyAlignment="1">
      <alignment horizontal="center" vertical="center"/>
    </xf>
    <xf numFmtId="0" fontId="9" fillId="12" borderId="52" xfId="8" applyFont="1" applyFill="1" applyBorder="1" applyAlignment="1">
      <alignment horizontal="center" vertical="center"/>
    </xf>
    <xf numFmtId="0" fontId="9" fillId="12" borderId="44" xfId="8" applyFont="1" applyFill="1" applyBorder="1" applyAlignment="1">
      <alignment horizontal="center" vertical="center"/>
    </xf>
    <xf numFmtId="0" fontId="9" fillId="12" borderId="46" xfId="8" applyFont="1" applyFill="1" applyBorder="1" applyAlignment="1">
      <alignment horizontal="center" vertical="center"/>
    </xf>
    <xf numFmtId="0" fontId="9" fillId="12" borderId="48" xfId="8" applyFont="1" applyFill="1" applyBorder="1" applyAlignment="1">
      <alignment horizontal="center" vertical="center"/>
    </xf>
    <xf numFmtId="0" fontId="9" fillId="12" borderId="50" xfId="8" applyFont="1" applyFill="1" applyBorder="1" applyAlignment="1">
      <alignment horizontal="center" vertical="center"/>
    </xf>
    <xf numFmtId="0" fontId="9" fillId="12" borderId="54" xfId="8" applyFont="1" applyFill="1" applyBorder="1" applyAlignment="1">
      <alignment horizontal="center" vertical="center"/>
    </xf>
    <xf numFmtId="0" fontId="9" fillId="13" borderId="45" xfId="9" applyFont="1" applyFill="1" applyBorder="1" applyAlignment="1">
      <alignment horizontal="center" vertical="center"/>
    </xf>
    <xf numFmtId="0" fontId="9" fillId="13" borderId="49" xfId="9" applyFont="1" applyFill="1" applyBorder="1" applyAlignment="1">
      <alignment horizontal="center" vertical="center"/>
    </xf>
    <xf numFmtId="0" fontId="9" fillId="13" borderId="51" xfId="9" applyFont="1" applyFill="1" applyBorder="1" applyAlignment="1">
      <alignment horizontal="center" vertical="center"/>
    </xf>
    <xf numFmtId="0" fontId="9" fillId="13" borderId="43" xfId="9" applyFont="1" applyFill="1" applyBorder="1" applyAlignment="1">
      <alignment horizontal="center" vertical="center"/>
    </xf>
    <xf numFmtId="0" fontId="9" fillId="13" borderId="17" xfId="9" applyFont="1" applyFill="1" applyBorder="1" applyAlignment="1">
      <alignment horizontal="center" vertical="center"/>
    </xf>
    <xf numFmtId="0" fontId="9" fillId="13" borderId="20" xfId="9" applyFont="1" applyFill="1" applyBorder="1" applyAlignment="1">
      <alignment horizontal="center" vertical="center"/>
    </xf>
    <xf numFmtId="0" fontId="9" fillId="13" borderId="23" xfId="9" applyFont="1" applyFill="1" applyBorder="1" applyAlignment="1">
      <alignment horizontal="center" vertical="center"/>
    </xf>
    <xf numFmtId="0" fontId="9" fillId="13" borderId="53" xfId="9" applyFont="1" applyFill="1" applyBorder="1" applyAlignment="1">
      <alignment horizontal="center" vertical="center"/>
    </xf>
    <xf numFmtId="0" fontId="9" fillId="13" borderId="36" xfId="9" applyFont="1" applyFill="1" applyBorder="1"/>
    <xf numFmtId="0" fontId="9" fillId="13" borderId="38" xfId="9" applyFont="1" applyFill="1" applyBorder="1"/>
    <xf numFmtId="0" fontId="9" fillId="13" borderId="69" xfId="9" applyFont="1" applyFill="1" applyBorder="1"/>
    <xf numFmtId="0" fontId="9" fillId="13" borderId="14" xfId="9" applyFont="1" applyFill="1" applyBorder="1"/>
    <xf numFmtId="0" fontId="9" fillId="13" borderId="70" xfId="9" applyFont="1" applyFill="1" applyBorder="1"/>
    <xf numFmtId="0" fontId="9" fillId="12" borderId="34" xfId="8" applyFont="1" applyFill="1" applyBorder="1"/>
    <xf numFmtId="0" fontId="9" fillId="12" borderId="1" xfId="8" applyFont="1" applyFill="1" applyBorder="1"/>
    <xf numFmtId="0" fontId="9" fillId="12" borderId="39" xfId="8" applyFont="1" applyFill="1" applyBorder="1"/>
    <xf numFmtId="0" fontId="9" fillId="12" borderId="35" xfId="8" applyFont="1" applyFill="1" applyBorder="1"/>
    <xf numFmtId="0" fontId="9" fillId="12" borderId="37" xfId="8" applyFont="1" applyFill="1" applyBorder="1"/>
    <xf numFmtId="0" fontId="9" fillId="12" borderId="40" xfId="8" applyFont="1" applyFill="1" applyBorder="1"/>
    <xf numFmtId="0" fontId="5" fillId="11" borderId="87" xfId="0" applyFont="1" applyFill="1" applyBorder="1"/>
    <xf numFmtId="0" fontId="3" fillId="3" borderId="89" xfId="2" applyBorder="1" applyAlignment="1">
      <alignment horizontal="center" vertical="center"/>
    </xf>
    <xf numFmtId="0" fontId="3" fillId="3" borderId="1" xfId="2" applyBorder="1"/>
    <xf numFmtId="0" fontId="5" fillId="11" borderId="0" xfId="0" applyFont="1" applyFill="1" applyBorder="1"/>
    <xf numFmtId="0" fontId="1" fillId="7" borderId="71" xfId="6" applyBorder="1" applyAlignment="1">
      <alignment horizontal="center"/>
    </xf>
    <xf numFmtId="0" fontId="0" fillId="7" borderId="71" xfId="6" applyFont="1" applyBorder="1" applyAlignment="1">
      <alignment horizontal="center"/>
    </xf>
    <xf numFmtId="0" fontId="5" fillId="6" borderId="71" xfId="5" applyBorder="1" applyAlignment="1">
      <alignment horizontal="center"/>
    </xf>
    <xf numFmtId="0" fontId="5" fillId="6" borderId="71" xfId="5" applyBorder="1" applyAlignment="1"/>
    <xf numFmtId="0" fontId="1" fillId="7" borderId="71" xfId="6" applyBorder="1" applyAlignment="1">
      <alignment horizontal="center" vertical="center"/>
    </xf>
    <xf numFmtId="0" fontId="1" fillId="7" borderId="73" xfId="6" applyBorder="1" applyAlignment="1">
      <alignment horizontal="center" vertical="center"/>
    </xf>
    <xf numFmtId="0" fontId="5" fillId="6" borderId="75" xfId="5" applyBorder="1" applyAlignment="1">
      <alignment horizontal="center"/>
    </xf>
    <xf numFmtId="0" fontId="1" fillId="7" borderId="71" xfId="6" applyBorder="1"/>
    <xf numFmtId="0" fontId="1" fillId="7" borderId="71" xfId="6" applyBorder="1" applyAlignment="1"/>
    <xf numFmtId="0" fontId="16" fillId="14" borderId="71" xfId="3" applyFont="1" applyFill="1" applyBorder="1" applyAlignment="1">
      <alignment horizontal="center"/>
    </xf>
    <xf numFmtId="0" fontId="16" fillId="14" borderId="90" xfId="3" applyFont="1" applyFill="1" applyBorder="1" applyAlignment="1">
      <alignment horizontal="center" vertical="center" wrapText="1"/>
    </xf>
    <xf numFmtId="0" fontId="11" fillId="3" borderId="72" xfId="11" applyBorder="1"/>
    <xf numFmtId="0" fontId="10" fillId="3" borderId="72" xfId="10" applyFill="1" applyBorder="1"/>
    <xf numFmtId="0" fontId="10" fillId="3" borderId="91" xfId="10" applyFill="1" applyBorder="1"/>
    <xf numFmtId="0" fontId="1" fillId="5" borderId="72" xfId="4" applyBorder="1"/>
    <xf numFmtId="0" fontId="3" fillId="3" borderId="92" xfId="2" applyBorder="1" applyAlignment="1">
      <alignment horizontal="center" vertical="center"/>
    </xf>
    <xf numFmtId="0" fontId="3" fillId="3" borderId="93" xfId="2" applyBorder="1" applyAlignment="1">
      <alignment horizontal="center" vertical="center"/>
    </xf>
    <xf numFmtId="0" fontId="1" fillId="5" borderId="73" xfId="4" applyBorder="1" applyAlignment="1">
      <alignment vertical="center" wrapText="1"/>
    </xf>
    <xf numFmtId="164" fontId="1" fillId="5" borderId="73" xfId="4" applyNumberFormat="1" applyBorder="1" applyAlignment="1">
      <alignment horizontal="left" vertical="center" wrapText="1"/>
    </xf>
    <xf numFmtId="0" fontId="1" fillId="5" borderId="74" xfId="4" applyBorder="1" applyAlignment="1">
      <alignment vertical="center" wrapText="1"/>
    </xf>
    <xf numFmtId="0" fontId="0" fillId="5" borderId="74" xfId="4" applyFont="1" applyBorder="1" applyAlignment="1">
      <alignment vertical="center" wrapText="1"/>
    </xf>
    <xf numFmtId="164" fontId="1" fillId="5" borderId="72" xfId="4" applyNumberFormat="1" applyBorder="1" applyAlignment="1">
      <alignment horizontal="left" vertical="center" wrapText="1"/>
    </xf>
    <xf numFmtId="0" fontId="5" fillId="11" borderId="94" xfId="0" applyFont="1" applyFill="1" applyBorder="1"/>
    <xf numFmtId="0" fontId="3" fillId="3" borderId="1" xfId="2" applyBorder="1" applyAlignment="1">
      <alignment horizontal="center" vertical="center"/>
    </xf>
    <xf numFmtId="0" fontId="1" fillId="5" borderId="0" xfId="4" applyBorder="1"/>
    <xf numFmtId="0" fontId="1" fillId="5" borderId="96" xfId="4" applyBorder="1"/>
    <xf numFmtId="0" fontId="0" fillId="5" borderId="0" xfId="4" applyFont="1" applyBorder="1"/>
    <xf numFmtId="0" fontId="0" fillId="5" borderId="96" xfId="4" applyFont="1" applyBorder="1"/>
    <xf numFmtId="0" fontId="5" fillId="0" borderId="95" xfId="0" applyFont="1" applyBorder="1" applyAlignment="1">
      <alignment horizontal="center" vertical="center" wrapText="1"/>
    </xf>
    <xf numFmtId="0" fontId="10" fillId="3" borderId="105" xfId="10" applyFill="1" applyBorder="1"/>
    <xf numFmtId="0" fontId="17" fillId="14" borderId="102" xfId="3" applyFont="1" applyFill="1" applyBorder="1" applyAlignment="1"/>
    <xf numFmtId="0" fontId="17" fillId="14" borderId="119" xfId="3" applyFont="1" applyFill="1" applyBorder="1" applyAlignment="1"/>
    <xf numFmtId="0" fontId="3" fillId="3" borderId="97" xfId="2" applyBorder="1" applyAlignment="1">
      <alignment horizontal="center" vertical="center" wrapText="1"/>
    </xf>
    <xf numFmtId="0" fontId="0" fillId="0" borderId="119" xfId="0" applyFont="1" applyBorder="1"/>
    <xf numFmtId="0" fontId="16" fillId="14" borderId="120" xfId="3" applyFont="1" applyFill="1" applyBorder="1" applyAlignment="1">
      <alignment horizontal="center" vertical="center" wrapText="1"/>
    </xf>
    <xf numFmtId="0" fontId="11" fillId="3" borderId="88" xfId="11" applyBorder="1"/>
    <xf numFmtId="0" fontId="11" fillId="3" borderId="122" xfId="11" applyBorder="1"/>
    <xf numFmtId="0" fontId="11" fillId="3" borderId="114" xfId="11" applyBorder="1"/>
    <xf numFmtId="0" fontId="11" fillId="3" borderId="125" xfId="11" applyBorder="1"/>
    <xf numFmtId="0" fontId="10" fillId="3" borderId="128" xfId="10" applyFill="1" applyBorder="1"/>
    <xf numFmtId="0" fontId="10" fillId="3" borderId="129" xfId="10" applyFill="1" applyBorder="1"/>
    <xf numFmtId="0" fontId="11" fillId="3" borderId="132" xfId="11" applyBorder="1"/>
    <xf numFmtId="0" fontId="11" fillId="3" borderId="134" xfId="11" applyBorder="1"/>
    <xf numFmtId="0" fontId="11" fillId="3" borderId="136" xfId="11" applyBorder="1"/>
    <xf numFmtId="0" fontId="11" fillId="3" borderId="137" xfId="11" applyBorder="1"/>
    <xf numFmtId="0" fontId="10" fillId="3" borderId="110" xfId="10" applyFill="1" applyBorder="1"/>
    <xf numFmtId="0" fontId="10" fillId="3" borderId="138" xfId="10" applyFill="1" applyBorder="1"/>
    <xf numFmtId="0" fontId="10" fillId="3" borderId="139" xfId="10" applyFill="1" applyBorder="1"/>
    <xf numFmtId="0" fontId="17" fillId="14" borderId="112" xfId="3" applyFont="1" applyFill="1" applyBorder="1" applyAlignment="1">
      <alignment horizontal="center" vertical="center"/>
    </xf>
    <xf numFmtId="0" fontId="16" fillId="14" borderId="140" xfId="3" applyFont="1" applyFill="1" applyBorder="1" applyAlignment="1">
      <alignment horizontal="center" vertical="center"/>
    </xf>
    <xf numFmtId="0" fontId="16" fillId="14" borderId="83" xfId="3" applyFont="1" applyFill="1" applyBorder="1" applyAlignment="1">
      <alignment horizontal="center" vertical="center"/>
    </xf>
    <xf numFmtId="0" fontId="1" fillId="5" borderId="97" xfId="4" applyBorder="1"/>
    <xf numFmtId="0" fontId="0" fillId="5" borderId="97" xfId="4" applyFont="1" applyBorder="1"/>
    <xf numFmtId="0" fontId="0" fillId="5" borderId="118" xfId="4" applyFont="1" applyBorder="1"/>
    <xf numFmtId="0" fontId="16" fillId="14" borderId="86" xfId="3" applyFont="1" applyFill="1" applyBorder="1" applyAlignment="1">
      <alignment horizontal="center" vertical="center"/>
    </xf>
    <xf numFmtId="0" fontId="16" fillId="14" borderId="141" xfId="3" applyFont="1" applyFill="1" applyBorder="1" applyAlignment="1">
      <alignment horizontal="center" vertical="center"/>
    </xf>
    <xf numFmtId="0" fontId="3" fillId="3" borderId="25" xfId="2" applyBorder="1"/>
    <xf numFmtId="0" fontId="5" fillId="10" borderId="8" xfId="9" applyBorder="1" applyAlignment="1">
      <alignment horizontal="center"/>
    </xf>
    <xf numFmtId="0" fontId="5" fillId="9" borderId="8" xfId="8" applyBorder="1" applyAlignment="1">
      <alignment horizontal="center"/>
    </xf>
    <xf numFmtId="0" fontId="17" fillId="14" borderId="111" xfId="3" applyFont="1" applyFill="1" applyBorder="1"/>
    <xf numFmtId="0" fontId="17" fillId="14" borderId="112" xfId="3" applyFont="1" applyFill="1" applyBorder="1" applyAlignment="1"/>
    <xf numFmtId="0" fontId="16" fillId="14" borderId="97" xfId="3" applyFont="1" applyFill="1" applyBorder="1" applyAlignment="1">
      <alignment horizontal="center"/>
    </xf>
    <xf numFmtId="0" fontId="0" fillId="5" borderId="82" xfId="4" applyFont="1" applyBorder="1" applyAlignment="1">
      <alignment vertical="center" wrapText="1"/>
    </xf>
    <xf numFmtId="0" fontId="0" fillId="5" borderId="117" xfId="4" applyFont="1" applyBorder="1" applyAlignment="1">
      <alignment vertical="center" wrapText="1"/>
    </xf>
    <xf numFmtId="164" fontId="1" fillId="5" borderId="141" xfId="4" applyNumberFormat="1" applyBorder="1" applyAlignment="1">
      <alignment horizontal="left" vertical="center" wrapText="1"/>
    </xf>
    <xf numFmtId="0" fontId="1" fillId="5" borderId="142" xfId="4" applyBorder="1" applyAlignment="1">
      <alignment vertical="center" wrapText="1"/>
    </xf>
    <xf numFmtId="0" fontId="1" fillId="5" borderId="143" xfId="4" applyBorder="1" applyAlignment="1">
      <alignment vertical="center" wrapText="1"/>
    </xf>
    <xf numFmtId="0" fontId="1" fillId="5" borderId="141" xfId="4" applyBorder="1"/>
    <xf numFmtId="0" fontId="16" fillId="14" borderId="75" xfId="3" applyFont="1" applyFill="1" applyBorder="1" applyAlignment="1">
      <alignment horizontal="center"/>
    </xf>
    <xf numFmtId="0" fontId="5" fillId="10" borderId="145" xfId="9" applyBorder="1" applyAlignment="1">
      <alignment horizontal="center"/>
    </xf>
    <xf numFmtId="0" fontId="16" fillId="14" borderId="115" xfId="3" applyFont="1" applyFill="1" applyBorder="1" applyAlignment="1">
      <alignment horizontal="center"/>
    </xf>
    <xf numFmtId="0" fontId="5" fillId="9" borderId="145" xfId="8" applyBorder="1" applyAlignment="1">
      <alignment horizontal="center"/>
    </xf>
    <xf numFmtId="0" fontId="18" fillId="3" borderId="148" xfId="11" applyFont="1" applyBorder="1"/>
    <xf numFmtId="2" fontId="18" fillId="3" borderId="149" xfId="11" applyNumberFormat="1" applyFont="1" applyBorder="1"/>
    <xf numFmtId="0" fontId="18" fillId="3" borderId="150" xfId="11" applyFont="1" applyBorder="1"/>
    <xf numFmtId="2" fontId="18" fillId="3" borderId="151" xfId="11" applyNumberFormat="1" applyFont="1" applyBorder="1"/>
    <xf numFmtId="0" fontId="18" fillId="3" borderId="152" xfId="11" applyFont="1" applyBorder="1"/>
    <xf numFmtId="2" fontId="18" fillId="3" borderId="153" xfId="11" applyNumberFormat="1" applyFont="1" applyBorder="1"/>
    <xf numFmtId="0" fontId="18" fillId="3" borderId="146" xfId="11" applyFont="1" applyBorder="1"/>
    <xf numFmtId="0" fontId="18" fillId="3" borderId="30" xfId="11" applyFont="1" applyBorder="1"/>
    <xf numFmtId="0" fontId="16" fillId="14" borderId="106" xfId="3" applyFont="1" applyFill="1" applyBorder="1" applyAlignment="1">
      <alignment horizontal="center" vertical="center" wrapText="1"/>
    </xf>
    <xf numFmtId="0" fontId="16" fillId="14" borderId="154" xfId="3" applyFont="1" applyFill="1" applyBorder="1" applyAlignment="1">
      <alignment horizontal="center" vertical="center" wrapText="1"/>
    </xf>
    <xf numFmtId="0" fontId="0" fillId="5" borderId="155" xfId="4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6" fillId="14" borderId="71" xfId="3" applyFont="1" applyFill="1" applyBorder="1" applyAlignment="1">
      <alignment horizontal="center" vertical="center" wrapText="1"/>
    </xf>
    <xf numFmtId="0" fontId="16" fillId="14" borderId="98" xfId="3" applyFont="1" applyFill="1" applyBorder="1" applyAlignment="1">
      <alignment horizontal="center" vertical="center" wrapText="1"/>
    </xf>
    <xf numFmtId="0" fontId="0" fillId="5" borderId="121" xfId="4" applyFont="1" applyBorder="1" applyAlignment="1">
      <alignment horizontal="center" vertical="center" wrapText="1"/>
    </xf>
    <xf numFmtId="0" fontId="0" fillId="5" borderId="104" xfId="4" applyFont="1" applyBorder="1" applyAlignment="1">
      <alignment horizontal="center" vertical="center" wrapText="1"/>
    </xf>
    <xf numFmtId="0" fontId="0" fillId="5" borderId="75" xfId="4" applyFont="1" applyBorder="1" applyAlignment="1">
      <alignment horizontal="center" vertical="center" wrapText="1"/>
    </xf>
    <xf numFmtId="0" fontId="16" fillId="14" borderId="97" xfId="3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8" borderId="3" xfId="7" applyBorder="1" applyAlignment="1">
      <alignment horizontal="right"/>
    </xf>
    <xf numFmtId="0" fontId="13" fillId="3" borderId="26" xfId="11" applyFont="1"/>
    <xf numFmtId="0" fontId="15" fillId="0" borderId="0" xfId="0" applyFont="1"/>
    <xf numFmtId="0" fontId="2" fillId="2" borderId="33" xfId="1" applyBorder="1"/>
    <xf numFmtId="0" fontId="2" fillId="2" borderId="34" xfId="1" applyBorder="1"/>
    <xf numFmtId="164" fontId="2" fillId="2" borderId="35" xfId="1" applyNumberFormat="1" applyBorder="1"/>
    <xf numFmtId="0" fontId="2" fillId="2" borderId="38" xfId="1" applyBorder="1"/>
    <xf numFmtId="0" fontId="2" fillId="2" borderId="39" xfId="1" applyBorder="1"/>
    <xf numFmtId="164" fontId="2" fillId="2" borderId="40" xfId="1" applyNumberFormat="1" applyBorder="1"/>
    <xf numFmtId="0" fontId="2" fillId="2" borderId="55" xfId="1" applyBorder="1" applyAlignment="1">
      <alignment horizontal="center" vertical="center" wrapText="1"/>
    </xf>
    <xf numFmtId="0" fontId="2" fillId="2" borderId="56" xfId="1" applyBorder="1" applyAlignment="1">
      <alignment horizontal="center" vertical="center" wrapText="1"/>
    </xf>
    <xf numFmtId="0" fontId="10" fillId="3" borderId="71" xfId="10" applyFill="1" applyBorder="1"/>
    <xf numFmtId="0" fontId="1" fillId="5" borderId="114" xfId="4" applyBorder="1"/>
    <xf numFmtId="0" fontId="5" fillId="14" borderId="116" xfId="3" applyFill="1" applyBorder="1" applyAlignment="1">
      <alignment horizontal="center" vertical="center" wrapText="1"/>
    </xf>
    <xf numFmtId="0" fontId="10" fillId="3" borderId="82" xfId="10" applyFill="1" applyBorder="1"/>
    <xf numFmtId="0" fontId="10" fillId="3" borderId="97" xfId="10" applyFill="1" applyBorder="1"/>
    <xf numFmtId="0" fontId="11" fillId="3" borderId="122" xfId="11" applyBorder="1"/>
    <xf numFmtId="0" fontId="11" fillId="3" borderId="137" xfId="11" applyBorder="1"/>
    <xf numFmtId="0" fontId="1" fillId="5" borderId="125" xfId="4" applyBorder="1"/>
    <xf numFmtId="0" fontId="2" fillId="2" borderId="57" xfId="1" applyBorder="1" applyAlignment="1">
      <alignment horizontal="center" vertical="center" wrapText="1"/>
    </xf>
    <xf numFmtId="0" fontId="2" fillId="2" borderId="58" xfId="1" applyBorder="1" applyAlignment="1">
      <alignment horizontal="center" vertical="center" wrapText="1"/>
    </xf>
    <xf numFmtId="0" fontId="2" fillId="2" borderId="59" xfId="1" applyBorder="1" applyAlignment="1">
      <alignment horizontal="center" vertical="center" wrapText="1"/>
    </xf>
    <xf numFmtId="0" fontId="2" fillId="2" borderId="60" xfId="1" applyBorder="1" applyAlignment="1">
      <alignment horizontal="center" vertical="center" wrapText="1"/>
    </xf>
    <xf numFmtId="0" fontId="2" fillId="2" borderId="61" xfId="1" applyBorder="1" applyAlignment="1">
      <alignment horizontal="center" vertical="center" wrapText="1"/>
    </xf>
    <xf numFmtId="0" fontId="2" fillId="2" borderId="62" xfId="1" applyBorder="1" applyAlignment="1">
      <alignment horizontal="center" vertical="center" wrapText="1"/>
    </xf>
    <xf numFmtId="0" fontId="16" fillId="14" borderId="2" xfId="3" applyFont="1" applyFill="1" applyBorder="1" applyAlignment="1">
      <alignment horizontal="center" vertical="center" wrapText="1"/>
    </xf>
    <xf numFmtId="0" fontId="16" fillId="14" borderId="2" xfId="3" applyFont="1" applyFill="1" applyBorder="1" applyAlignment="1">
      <alignment horizontal="center" vertical="center"/>
    </xf>
    <xf numFmtId="0" fontId="3" fillId="3" borderId="2" xfId="2" applyBorder="1" applyAlignment="1">
      <alignment horizontal="center" vertical="center" wrapText="1"/>
    </xf>
    <xf numFmtId="0" fontId="1" fillId="5" borderId="3" xfId="4" applyBorder="1"/>
    <xf numFmtId="0" fontId="5" fillId="14" borderId="5" xfId="3" applyFill="1" applyBorder="1" applyAlignment="1">
      <alignment horizontal="center" vertical="center" wrapText="1"/>
    </xf>
    <xf numFmtId="0" fontId="16" fillId="14" borderId="6" xfId="3" applyFont="1" applyFill="1" applyBorder="1" applyAlignment="1">
      <alignment horizontal="center" vertical="center"/>
    </xf>
    <xf numFmtId="0" fontId="16" fillId="14" borderId="5" xfId="3" applyFont="1" applyFill="1" applyBorder="1" applyAlignment="1">
      <alignment horizontal="center" vertical="center"/>
    </xf>
    <xf numFmtId="0" fontId="16" fillId="14" borderId="7" xfId="3" applyFont="1" applyFill="1" applyBorder="1" applyAlignment="1">
      <alignment horizontal="center" vertical="center"/>
    </xf>
    <xf numFmtId="164" fontId="2" fillId="2" borderId="2" xfId="1" applyNumberFormat="1" applyBorder="1"/>
    <xf numFmtId="0" fontId="0" fillId="0" borderId="2" xfId="0" applyFont="1" applyBorder="1"/>
    <xf numFmtId="0" fontId="13" fillId="3" borderId="2" xfId="11" applyFont="1" applyBorder="1"/>
    <xf numFmtId="0" fontId="11" fillId="3" borderId="2" xfId="11" applyBorder="1" applyAlignment="1">
      <alignment horizontal="center"/>
    </xf>
    <xf numFmtId="0" fontId="16" fillId="14" borderId="81" xfId="3" applyFont="1" applyFill="1" applyBorder="1" applyAlignment="1">
      <alignment horizontal="center" vertical="center"/>
    </xf>
    <xf numFmtId="0" fontId="3" fillId="3" borderId="159" xfId="2" applyBorder="1" applyAlignment="1">
      <alignment horizontal="center" vertical="center" wrapText="1"/>
    </xf>
    <xf numFmtId="0" fontId="9" fillId="3" borderId="2" xfId="11" applyFont="1" applyBorder="1"/>
    <xf numFmtId="0" fontId="9" fillId="0" borderId="0" xfId="0" applyFont="1"/>
    <xf numFmtId="0" fontId="9" fillId="0" borderId="0" xfId="0" applyFont="1" applyFill="1" applyBorder="1"/>
    <xf numFmtId="0" fontId="2" fillId="2" borderId="34" xfId="1" applyBorder="1" applyProtection="1"/>
    <xf numFmtId="164" fontId="2" fillId="2" borderId="35" xfId="1" applyNumberFormat="1" applyBorder="1" applyProtection="1"/>
    <xf numFmtId="0" fontId="2" fillId="2" borderId="1" xfId="1" applyBorder="1" applyProtection="1"/>
    <xf numFmtId="164" fontId="2" fillId="2" borderId="37" xfId="1" applyNumberFormat="1" applyBorder="1" applyProtection="1"/>
    <xf numFmtId="0" fontId="9" fillId="13" borderId="33" xfId="9" applyFont="1" applyFill="1" applyBorder="1" applyProtection="1"/>
    <xf numFmtId="0" fontId="9" fillId="12" borderId="34" xfId="8" applyFont="1" applyFill="1" applyBorder="1" applyProtection="1"/>
    <xf numFmtId="0" fontId="9" fillId="13" borderId="69" xfId="9" applyFont="1" applyFill="1" applyBorder="1" applyProtection="1"/>
    <xf numFmtId="0" fontId="2" fillId="2" borderId="33" xfId="1" applyBorder="1" applyProtection="1"/>
    <xf numFmtId="0" fontId="2" fillId="2" borderId="36" xfId="1" applyBorder="1" applyProtection="1"/>
    <xf numFmtId="0" fontId="2" fillId="2" borderId="38" xfId="1" applyBorder="1" applyProtection="1"/>
    <xf numFmtId="0" fontId="2" fillId="2" borderId="39" xfId="1" applyBorder="1" applyProtection="1"/>
    <xf numFmtId="164" fontId="2" fillId="2" borderId="40" xfId="1" applyNumberFormat="1" applyBorder="1" applyProtection="1"/>
    <xf numFmtId="0" fontId="9" fillId="13" borderId="41" xfId="9" applyFont="1" applyFill="1" applyBorder="1" applyAlignment="1" applyProtection="1">
      <alignment horizontal="center" vertical="center"/>
    </xf>
    <xf numFmtId="0" fontId="9" fillId="12" borderId="42" xfId="8" applyFont="1" applyFill="1" applyBorder="1" applyAlignment="1" applyProtection="1">
      <alignment horizontal="center" vertical="center"/>
    </xf>
    <xf numFmtId="0" fontId="9" fillId="13" borderId="43" xfId="9" applyFont="1" applyFill="1" applyBorder="1" applyAlignment="1" applyProtection="1">
      <alignment horizontal="center" vertical="center"/>
    </xf>
    <xf numFmtId="0" fontId="9" fillId="13" borderId="45" xfId="9" applyFont="1" applyFill="1" applyBorder="1" applyAlignment="1" applyProtection="1">
      <alignment horizontal="center" vertical="center"/>
    </xf>
    <xf numFmtId="0" fontId="9" fillId="12" borderId="21" xfId="8" applyFont="1" applyFill="1" applyBorder="1" applyAlignment="1" applyProtection="1">
      <alignment horizontal="center" vertical="center"/>
    </xf>
    <xf numFmtId="0" fontId="9" fillId="13" borderId="17" xfId="9" applyFont="1" applyFill="1" applyBorder="1" applyAlignment="1" applyProtection="1">
      <alignment horizontal="center" vertical="center"/>
    </xf>
    <xf numFmtId="0" fontId="9" fillId="13" borderId="47" xfId="9" applyFont="1" applyFill="1" applyBorder="1" applyAlignment="1" applyProtection="1">
      <alignment horizontal="center" vertical="center"/>
    </xf>
    <xf numFmtId="0" fontId="9" fillId="12" borderId="22" xfId="8" applyFont="1" applyFill="1" applyBorder="1" applyAlignment="1" applyProtection="1">
      <alignment horizontal="center" vertical="center"/>
    </xf>
    <xf numFmtId="0" fontId="9" fillId="13" borderId="20" xfId="9" applyFont="1" applyFill="1" applyBorder="1" applyAlignment="1" applyProtection="1">
      <alignment horizontal="center" vertical="center"/>
    </xf>
    <xf numFmtId="0" fontId="2" fillId="2" borderId="37" xfId="1" applyBorder="1" applyProtection="1"/>
    <xf numFmtId="164" fontId="2" fillId="2" borderId="33" xfId="1" applyNumberFormat="1" applyBorder="1" applyProtection="1"/>
    <xf numFmtId="0" fontId="4" fillId="4" borderId="2" xfId="3" applyFont="1" applyBorder="1" applyAlignment="1">
      <alignment horizontal="center"/>
    </xf>
    <xf numFmtId="0" fontId="5" fillId="4" borderId="16" xfId="3" applyBorder="1" applyAlignment="1">
      <alignment horizontal="left" vertical="top" wrapText="1"/>
    </xf>
    <xf numFmtId="0" fontId="5" fillId="4" borderId="0" xfId="3" applyBorder="1" applyAlignment="1">
      <alignment horizontal="left" vertical="top" wrapText="1"/>
    </xf>
    <xf numFmtId="0" fontId="5" fillId="4" borderId="10" xfId="3" applyBorder="1" applyAlignment="1">
      <alignment horizontal="left" vertical="top" wrapText="1"/>
    </xf>
    <xf numFmtId="0" fontId="5" fillId="4" borderId="16" xfId="3" applyBorder="1" applyAlignment="1">
      <alignment horizontal="left"/>
    </xf>
    <xf numFmtId="0" fontId="5" fillId="4" borderId="0" xfId="3" applyBorder="1" applyAlignment="1">
      <alignment horizontal="left"/>
    </xf>
    <xf numFmtId="0" fontId="5" fillId="4" borderId="10" xfId="3" applyBorder="1" applyAlignment="1">
      <alignment horizontal="left"/>
    </xf>
    <xf numFmtId="0" fontId="5" fillId="10" borderId="6" xfId="9" applyBorder="1" applyAlignment="1">
      <alignment horizontal="center" vertical="center" wrapText="1"/>
    </xf>
    <xf numFmtId="0" fontId="5" fillId="10" borderId="7" xfId="9" applyBorder="1" applyAlignment="1">
      <alignment horizontal="center" vertical="center" wrapText="1"/>
    </xf>
    <xf numFmtId="0" fontId="5" fillId="10" borderId="16" xfId="9" applyBorder="1" applyAlignment="1">
      <alignment horizontal="center" vertical="center" wrapText="1"/>
    </xf>
    <xf numFmtId="0" fontId="5" fillId="9" borderId="6" xfId="8" applyBorder="1" applyAlignment="1">
      <alignment horizontal="center" vertical="center" wrapText="1"/>
    </xf>
    <xf numFmtId="0" fontId="5" fillId="9" borderId="7" xfId="8" applyBorder="1" applyAlignment="1">
      <alignment horizontal="center" vertical="center" wrapText="1"/>
    </xf>
    <xf numFmtId="0" fontId="5" fillId="9" borderId="10" xfId="8" applyBorder="1" applyAlignment="1">
      <alignment horizontal="center" vertical="center" wrapText="1"/>
    </xf>
    <xf numFmtId="0" fontId="5" fillId="4" borderId="15" xfId="3" applyBorder="1" applyAlignment="1">
      <alignment horizontal="left" wrapText="1"/>
    </xf>
    <xf numFmtId="0" fontId="5" fillId="4" borderId="11" xfId="3" applyBorder="1" applyAlignment="1">
      <alignment horizontal="left" wrapText="1"/>
    </xf>
    <xf numFmtId="0" fontId="5" fillId="4" borderId="12" xfId="3" applyBorder="1" applyAlignment="1">
      <alignment horizontal="left" wrapText="1"/>
    </xf>
    <xf numFmtId="0" fontId="10" fillId="3" borderId="91" xfId="10" applyFill="1" applyBorder="1" applyAlignment="1">
      <alignment horizontal="left"/>
    </xf>
    <xf numFmtId="0" fontId="2" fillId="2" borderId="33" xfId="1" applyBorder="1" applyAlignment="1" applyProtection="1">
      <alignment horizontal="center"/>
    </xf>
    <xf numFmtId="0" fontId="2" fillId="2" borderId="34" xfId="1" applyBorder="1" applyAlignment="1" applyProtection="1">
      <alignment horizontal="center"/>
    </xf>
    <xf numFmtId="0" fontId="2" fillId="2" borderId="36" xfId="1" applyBorder="1" applyAlignment="1" applyProtection="1">
      <alignment horizontal="center"/>
    </xf>
    <xf numFmtId="0" fontId="2" fillId="2" borderId="1" xfId="1" applyBorder="1" applyAlignment="1" applyProtection="1">
      <alignment horizontal="center"/>
    </xf>
    <xf numFmtId="3" fontId="2" fillId="2" borderId="36" xfId="1" applyNumberFormat="1" applyBorder="1" applyAlignment="1" applyProtection="1">
      <alignment horizontal="center"/>
    </xf>
    <xf numFmtId="0" fontId="2" fillId="2" borderId="36" xfId="1" applyBorder="1" applyAlignment="1">
      <alignment horizontal="center"/>
    </xf>
    <xf numFmtId="0" fontId="2" fillId="2" borderId="1" xfId="1" applyBorder="1" applyAlignment="1">
      <alignment horizontal="center"/>
    </xf>
    <xf numFmtId="0" fontId="2" fillId="2" borderId="38" xfId="1" applyBorder="1" applyAlignment="1">
      <alignment horizontal="center"/>
    </xf>
    <xf numFmtId="0" fontId="2" fillId="2" borderId="39" xfId="1" applyBorder="1" applyAlignment="1">
      <alignment horizontal="center"/>
    </xf>
    <xf numFmtId="0" fontId="16" fillId="14" borderId="72" xfId="3" applyFont="1" applyFill="1" applyBorder="1" applyAlignment="1">
      <alignment horizontal="center" vertical="center" wrapText="1"/>
    </xf>
    <xf numFmtId="0" fontId="5" fillId="4" borderId="13" xfId="3" applyFont="1" applyBorder="1" applyAlignment="1">
      <alignment horizontal="left"/>
    </xf>
    <xf numFmtId="0" fontId="5" fillId="4" borderId="18" xfId="3" applyFont="1" applyBorder="1" applyAlignment="1">
      <alignment horizontal="left"/>
    </xf>
    <xf numFmtId="0" fontId="5" fillId="4" borderId="9" xfId="3" applyFont="1" applyBorder="1" applyAlignment="1">
      <alignment horizontal="left"/>
    </xf>
    <xf numFmtId="0" fontId="6" fillId="0" borderId="0" xfId="0" applyFont="1" applyAlignment="1">
      <alignment horizontal="left"/>
    </xf>
    <xf numFmtId="0" fontId="17" fillId="14" borderId="111" xfId="3" applyFont="1" applyFill="1" applyBorder="1" applyAlignment="1">
      <alignment horizontal="right"/>
    </xf>
    <xf numFmtId="0" fontId="17" fillId="14" borderId="110" xfId="3" applyFont="1" applyFill="1" applyBorder="1" applyAlignment="1">
      <alignment horizontal="center"/>
    </xf>
    <xf numFmtId="0" fontId="17" fillId="14" borderId="111" xfId="3" applyFont="1" applyFill="1" applyBorder="1" applyAlignment="1">
      <alignment horizontal="center"/>
    </xf>
    <xf numFmtId="2" fontId="4" fillId="8" borderId="4" xfId="7" applyNumberFormat="1" applyFont="1" applyBorder="1" applyAlignment="1">
      <alignment horizontal="center"/>
    </xf>
    <xf numFmtId="0" fontId="16" fillId="14" borderId="82" xfId="3" applyFont="1" applyFill="1" applyBorder="1" applyAlignment="1">
      <alignment horizontal="center" vertical="center"/>
    </xf>
    <xf numFmtId="0" fontId="16" fillId="14" borderId="71" xfId="3" applyFont="1" applyFill="1" applyBorder="1" applyAlignment="1">
      <alignment horizontal="center" vertical="center"/>
    </xf>
    <xf numFmtId="0" fontId="16" fillId="14" borderId="73" xfId="3" applyFont="1" applyFill="1" applyBorder="1" applyAlignment="1">
      <alignment horizontal="center" vertical="center"/>
    </xf>
    <xf numFmtId="0" fontId="16" fillId="14" borderId="72" xfId="3" applyFont="1" applyFill="1" applyBorder="1" applyAlignment="1">
      <alignment horizontal="center" vertical="center"/>
    </xf>
    <xf numFmtId="0" fontId="16" fillId="14" borderId="79" xfId="3" applyFont="1" applyFill="1" applyBorder="1" applyAlignment="1">
      <alignment horizontal="center" vertical="center"/>
    </xf>
    <xf numFmtId="0" fontId="16" fillId="14" borderId="75" xfId="3" applyFont="1" applyFill="1" applyBorder="1" applyAlignment="1">
      <alignment horizontal="center" vertical="center"/>
    </xf>
    <xf numFmtId="0" fontId="16" fillId="14" borderId="85" xfId="3" applyFont="1" applyFill="1" applyBorder="1" applyAlignment="1">
      <alignment horizontal="center" vertical="center"/>
    </xf>
    <xf numFmtId="0" fontId="5" fillId="11" borderId="144" xfId="0" applyFont="1" applyFill="1" applyBorder="1" applyAlignment="1">
      <alignment horizontal="center"/>
    </xf>
    <xf numFmtId="0" fontId="1" fillId="7" borderId="71" xfId="6" applyBorder="1" applyAlignment="1">
      <alignment horizontal="center" vertical="center"/>
    </xf>
    <xf numFmtId="0" fontId="16" fillId="14" borderId="100" xfId="3" applyFont="1" applyFill="1" applyBorder="1" applyAlignment="1">
      <alignment horizontal="center" vertical="center"/>
    </xf>
    <xf numFmtId="0" fontId="16" fillId="14" borderId="90" xfId="3" applyFont="1" applyFill="1" applyBorder="1" applyAlignment="1">
      <alignment horizontal="center" vertical="center"/>
    </xf>
    <xf numFmtId="0" fontId="1" fillId="7" borderId="71" xfId="6" applyBorder="1" applyAlignment="1">
      <alignment horizontal="center"/>
    </xf>
    <xf numFmtId="0" fontId="0" fillId="5" borderId="82" xfId="4" applyFont="1" applyBorder="1" applyAlignment="1">
      <alignment horizontal="center" wrapText="1"/>
    </xf>
    <xf numFmtId="0" fontId="1" fillId="5" borderId="71" xfId="4" applyBorder="1" applyAlignment="1">
      <alignment horizontal="center" wrapText="1"/>
    </xf>
    <xf numFmtId="0" fontId="1" fillId="5" borderId="82" xfId="4" applyBorder="1" applyAlignment="1">
      <alignment horizontal="center" wrapText="1"/>
    </xf>
    <xf numFmtId="0" fontId="5" fillId="6" borderId="71" xfId="5" applyBorder="1" applyAlignment="1">
      <alignment horizontal="center"/>
    </xf>
    <xf numFmtId="0" fontId="3" fillId="11" borderId="27" xfId="2" applyFill="1" applyBorder="1" applyAlignment="1">
      <alignment horizontal="center"/>
    </xf>
    <xf numFmtId="0" fontId="5" fillId="4" borderId="73" xfId="3" applyBorder="1" applyAlignment="1">
      <alignment horizontal="center" vertical="center"/>
    </xf>
    <xf numFmtId="0" fontId="5" fillId="4" borderId="71" xfId="3" applyBorder="1" applyAlignment="1">
      <alignment horizontal="center" vertical="center"/>
    </xf>
    <xf numFmtId="0" fontId="5" fillId="4" borderId="79" xfId="3" applyBorder="1" applyAlignment="1">
      <alignment horizontal="center" vertical="center"/>
    </xf>
    <xf numFmtId="0" fontId="5" fillId="4" borderId="75" xfId="3" applyBorder="1" applyAlignment="1">
      <alignment horizontal="center" vertical="center"/>
    </xf>
    <xf numFmtId="0" fontId="17" fillId="14" borderId="111" xfId="3" applyFont="1" applyFill="1" applyBorder="1" applyAlignment="1">
      <alignment horizontal="center" vertical="center"/>
    </xf>
    <xf numFmtId="0" fontId="17" fillId="14" borderId="111" xfId="3" applyFont="1" applyFill="1" applyBorder="1" applyAlignment="1">
      <alignment horizontal="right" vertical="center"/>
    </xf>
    <xf numFmtId="0" fontId="17" fillId="14" borderId="110" xfId="3" applyFont="1" applyFill="1" applyBorder="1" applyAlignment="1">
      <alignment horizontal="center" vertical="center"/>
    </xf>
    <xf numFmtId="0" fontId="16" fillId="14" borderId="86" xfId="3" applyFont="1" applyFill="1" applyBorder="1" applyAlignment="1">
      <alignment horizontal="left"/>
    </xf>
    <xf numFmtId="0" fontId="16" fillId="14" borderId="87" xfId="3" applyFont="1" applyFill="1" applyBorder="1" applyAlignment="1">
      <alignment horizontal="left"/>
    </xf>
    <xf numFmtId="0" fontId="5" fillId="9" borderId="84" xfId="8" applyBorder="1" applyAlignment="1">
      <alignment horizontal="center" vertical="center" wrapText="1"/>
    </xf>
    <xf numFmtId="0" fontId="1" fillId="5" borderId="71" xfId="4" applyBorder="1" applyAlignment="1">
      <alignment horizontal="center" vertical="center"/>
    </xf>
    <xf numFmtId="0" fontId="1" fillId="5" borderId="121" xfId="4" applyBorder="1" applyAlignment="1">
      <alignment horizontal="center" vertical="center"/>
    </xf>
    <xf numFmtId="164" fontId="1" fillId="5" borderId="82" xfId="4" applyNumberFormat="1" applyBorder="1" applyAlignment="1">
      <alignment horizontal="center" vertical="top" wrapText="1"/>
    </xf>
    <xf numFmtId="164" fontId="1" fillId="5" borderId="71" xfId="4" applyNumberFormat="1" applyBorder="1" applyAlignment="1">
      <alignment horizontal="center" vertical="top" wrapText="1"/>
    </xf>
    <xf numFmtId="164" fontId="1" fillId="5" borderId="117" xfId="4" applyNumberFormat="1" applyBorder="1" applyAlignment="1">
      <alignment horizontal="center" vertical="top" wrapText="1"/>
    </xf>
    <xf numFmtId="164" fontId="1" fillId="5" borderId="121" xfId="4" applyNumberFormat="1" applyBorder="1" applyAlignment="1">
      <alignment horizontal="center" vertical="top" wrapText="1"/>
    </xf>
    <xf numFmtId="0" fontId="16" fillId="14" borderId="71" xfId="3" applyFont="1" applyFill="1" applyBorder="1" applyAlignment="1">
      <alignment horizontal="center" vertical="center" wrapText="1"/>
    </xf>
    <xf numFmtId="0" fontId="16" fillId="14" borderId="73" xfId="3" applyFont="1" applyFill="1" applyBorder="1" applyAlignment="1">
      <alignment horizontal="center" vertical="center" wrapText="1"/>
    </xf>
    <xf numFmtId="0" fontId="5" fillId="10" borderId="84" xfId="9" applyBorder="1" applyAlignment="1">
      <alignment horizontal="center" vertical="center" wrapText="1"/>
    </xf>
    <xf numFmtId="0" fontId="5" fillId="4" borderId="72" xfId="3" applyBorder="1" applyAlignment="1">
      <alignment horizontal="center" vertical="center"/>
    </xf>
    <xf numFmtId="0" fontId="5" fillId="4" borderId="85" xfId="3" applyBorder="1" applyAlignment="1">
      <alignment horizontal="center" vertical="center"/>
    </xf>
    <xf numFmtId="0" fontId="16" fillId="14" borderId="115" xfId="3" applyFont="1" applyFill="1" applyBorder="1" applyAlignment="1">
      <alignment horizontal="center" vertical="center" wrapText="1"/>
    </xf>
    <xf numFmtId="0" fontId="16" fillId="14" borderId="77" xfId="3" applyFont="1" applyFill="1" applyBorder="1" applyAlignment="1">
      <alignment horizontal="center" vertical="center" wrapText="1"/>
    </xf>
    <xf numFmtId="0" fontId="16" fillId="14" borderId="98" xfId="3" applyFont="1" applyFill="1" applyBorder="1" applyAlignment="1">
      <alignment horizontal="center" vertical="center" wrapText="1"/>
    </xf>
    <xf numFmtId="0" fontId="4" fillId="4" borderId="3" xfId="3" applyFont="1" applyBorder="1" applyAlignment="1">
      <alignment horizontal="center"/>
    </xf>
    <xf numFmtId="0" fontId="4" fillId="4" borderId="4" xfId="3" applyFont="1" applyBorder="1" applyAlignment="1">
      <alignment horizontal="center"/>
    </xf>
    <xf numFmtId="0" fontId="4" fillId="4" borderId="5" xfId="3" applyFont="1" applyBorder="1" applyAlignment="1">
      <alignment horizontal="center"/>
    </xf>
    <xf numFmtId="0" fontId="5" fillId="4" borderId="16" xfId="3" applyBorder="1" applyAlignment="1">
      <alignment horizontal="left" wrapText="1"/>
    </xf>
    <xf numFmtId="0" fontId="5" fillId="4" borderId="0" xfId="3" applyBorder="1" applyAlignment="1">
      <alignment horizontal="left" wrapText="1"/>
    </xf>
    <xf numFmtId="0" fontId="5" fillId="4" borderId="10" xfId="3" applyBorder="1" applyAlignment="1">
      <alignment horizontal="left" wrapText="1"/>
    </xf>
    <xf numFmtId="0" fontId="5" fillId="4" borderId="16" xfId="3" applyFont="1" applyBorder="1" applyAlignment="1">
      <alignment horizontal="left"/>
    </xf>
    <xf numFmtId="0" fontId="5" fillId="4" borderId="0" xfId="3" applyFont="1" applyBorder="1" applyAlignment="1">
      <alignment horizontal="left"/>
    </xf>
    <xf numFmtId="0" fontId="5" fillId="4" borderId="10" xfId="3" applyFont="1" applyBorder="1" applyAlignment="1">
      <alignment horizontal="left"/>
    </xf>
    <xf numFmtId="0" fontId="5" fillId="4" borderId="15" xfId="3" applyFont="1" applyBorder="1" applyAlignment="1">
      <alignment horizontal="left" wrapText="1"/>
    </xf>
    <xf numFmtId="0" fontId="5" fillId="4" borderId="11" xfId="3" applyFont="1" applyBorder="1" applyAlignment="1">
      <alignment horizontal="left" wrapText="1"/>
    </xf>
    <xf numFmtId="0" fontId="5" fillId="4" borderId="12" xfId="3" applyFont="1" applyBorder="1" applyAlignment="1">
      <alignment horizontal="left" wrapText="1"/>
    </xf>
    <xf numFmtId="0" fontId="5" fillId="4" borderId="16" xfId="3" applyFont="1" applyBorder="1" applyAlignment="1">
      <alignment horizontal="left" wrapText="1"/>
    </xf>
    <xf numFmtId="0" fontId="5" fillId="4" borderId="0" xfId="3" applyFont="1" applyBorder="1" applyAlignment="1">
      <alignment horizontal="left" wrapText="1"/>
    </xf>
    <xf numFmtId="0" fontId="5" fillId="4" borderId="10" xfId="3" applyFont="1" applyBorder="1" applyAlignment="1">
      <alignment horizontal="left" wrapText="1"/>
    </xf>
    <xf numFmtId="0" fontId="16" fillId="14" borderId="157" xfId="3" applyFont="1" applyFill="1" applyBorder="1" applyAlignment="1">
      <alignment horizontal="center" vertical="center"/>
    </xf>
    <xf numFmtId="0" fontId="16" fillId="14" borderId="158" xfId="3" applyFont="1" applyFill="1" applyBorder="1" applyAlignment="1">
      <alignment horizontal="center" vertical="center"/>
    </xf>
    <xf numFmtId="0" fontId="2" fillId="2" borderId="63" xfId="1" applyBorder="1" applyAlignment="1">
      <alignment horizontal="center" vertical="center" wrapText="1"/>
    </xf>
    <xf numFmtId="0" fontId="2" fillId="2" borderId="64" xfId="1" applyBorder="1" applyAlignment="1">
      <alignment horizontal="center" vertical="center" wrapText="1"/>
    </xf>
    <xf numFmtId="0" fontId="2" fillId="2" borderId="65" xfId="1" applyBorder="1" applyAlignment="1">
      <alignment horizontal="center" vertical="center" wrapText="1"/>
    </xf>
    <xf numFmtId="0" fontId="2" fillId="2" borderId="66" xfId="1" applyBorder="1" applyAlignment="1">
      <alignment horizontal="center" vertical="center" wrapText="1"/>
    </xf>
    <xf numFmtId="0" fontId="11" fillId="3" borderId="3" xfId="11" applyBorder="1" applyAlignment="1">
      <alignment horizontal="center"/>
    </xf>
    <xf numFmtId="0" fontId="11" fillId="3" borderId="4" xfId="11" applyBorder="1" applyAlignment="1">
      <alignment horizontal="center"/>
    </xf>
    <xf numFmtId="0" fontId="11" fillId="3" borderId="5" xfId="11" applyBorder="1" applyAlignment="1">
      <alignment horizontal="center"/>
    </xf>
    <xf numFmtId="0" fontId="16" fillId="14" borderId="2" xfId="3" applyFont="1" applyFill="1" applyBorder="1" applyAlignment="1">
      <alignment horizontal="center" vertical="center" wrapText="1"/>
    </xf>
    <xf numFmtId="0" fontId="11" fillId="3" borderId="13" xfId="11" applyBorder="1" applyAlignment="1">
      <alignment horizontal="center" vertical="center"/>
    </xf>
    <xf numFmtId="0" fontId="11" fillId="3" borderId="9" xfId="11" applyBorder="1" applyAlignment="1">
      <alignment horizontal="center" vertical="center"/>
    </xf>
    <xf numFmtId="0" fontId="11" fillId="3" borderId="15" xfId="11" applyBorder="1" applyAlignment="1">
      <alignment horizontal="center" vertical="center"/>
    </xf>
    <xf numFmtId="0" fontId="11" fillId="3" borderId="12" xfId="11" applyBorder="1" applyAlignment="1">
      <alignment horizontal="center" vertical="center"/>
    </xf>
    <xf numFmtId="0" fontId="11" fillId="3" borderId="2" xfId="11" applyBorder="1" applyAlignment="1">
      <alignment horizontal="center"/>
    </xf>
    <xf numFmtId="0" fontId="16" fillId="14" borderId="2" xfId="3" applyFont="1" applyFill="1" applyBorder="1" applyAlignment="1">
      <alignment horizontal="center" vertical="center"/>
    </xf>
    <xf numFmtId="0" fontId="2" fillId="2" borderId="61" xfId="1" applyBorder="1" applyAlignment="1">
      <alignment horizontal="center" vertical="center" wrapText="1"/>
    </xf>
    <xf numFmtId="0" fontId="2" fillId="2" borderId="62" xfId="1" applyBorder="1" applyAlignment="1">
      <alignment horizontal="center" vertical="center" wrapText="1"/>
    </xf>
    <xf numFmtId="0" fontId="17" fillId="14" borderId="102" xfId="3" applyFont="1" applyFill="1" applyBorder="1" applyAlignment="1">
      <alignment horizontal="right"/>
    </xf>
    <xf numFmtId="0" fontId="13" fillId="3" borderId="28" xfId="11" applyFont="1" applyBorder="1" applyAlignment="1">
      <alignment horizontal="left"/>
    </xf>
    <xf numFmtId="0" fontId="13" fillId="3" borderId="29" xfId="11" applyFont="1" applyBorder="1" applyAlignment="1">
      <alignment horizontal="left"/>
    </xf>
    <xf numFmtId="0" fontId="13" fillId="3" borderId="31" xfId="11" applyFont="1" applyBorder="1" applyAlignment="1">
      <alignment horizontal="left"/>
    </xf>
    <xf numFmtId="0" fontId="13" fillId="3" borderId="32" xfId="11" applyFont="1" applyBorder="1" applyAlignment="1">
      <alignment horizontal="left"/>
    </xf>
    <xf numFmtId="0" fontId="16" fillId="14" borderId="75" xfId="3" applyFont="1" applyFill="1" applyBorder="1" applyAlignment="1">
      <alignment horizontal="center" vertical="center" wrapText="1"/>
    </xf>
    <xf numFmtId="0" fontId="16" fillId="14" borderId="99" xfId="3" applyFont="1" applyFill="1" applyBorder="1" applyAlignment="1">
      <alignment horizontal="center" vertical="center" wrapText="1"/>
    </xf>
    <xf numFmtId="0" fontId="16" fillId="14" borderId="101" xfId="3" applyFont="1" applyFill="1" applyBorder="1" applyAlignment="1">
      <alignment horizontal="center" vertical="center" wrapText="1"/>
    </xf>
    <xf numFmtId="0" fontId="17" fillId="14" borderId="81" xfId="3" applyFont="1" applyFill="1" applyBorder="1" applyAlignment="1">
      <alignment horizontal="center"/>
    </xf>
    <xf numFmtId="0" fontId="17" fillId="14" borderId="102" xfId="3" applyFont="1" applyFill="1" applyBorder="1" applyAlignment="1">
      <alignment horizontal="center"/>
    </xf>
    <xf numFmtId="0" fontId="16" fillId="14" borderId="82" xfId="3" applyFont="1" applyFill="1" applyBorder="1" applyAlignment="1">
      <alignment horizontal="center" vertical="center" wrapText="1"/>
    </xf>
    <xf numFmtId="0" fontId="16" fillId="14" borderId="113" xfId="3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0" fillId="3" borderId="126" xfId="10" applyFill="1" applyBorder="1" applyAlignment="1">
      <alignment horizontal="center"/>
    </xf>
    <xf numFmtId="0" fontId="10" fillId="3" borderId="107" xfId="10" applyFill="1" applyBorder="1" applyAlignment="1">
      <alignment horizontal="center"/>
    </xf>
    <xf numFmtId="0" fontId="10" fillId="3" borderId="127" xfId="10" applyFill="1" applyBorder="1" applyAlignment="1">
      <alignment horizontal="center"/>
    </xf>
    <xf numFmtId="0" fontId="10" fillId="3" borderId="130" xfId="10" applyFill="1" applyBorder="1" applyAlignment="1">
      <alignment horizontal="left"/>
    </xf>
    <xf numFmtId="0" fontId="10" fillId="3" borderId="108" xfId="10" applyFill="1" applyBorder="1" applyAlignment="1">
      <alignment horizontal="left"/>
    </xf>
    <xf numFmtId="0" fontId="10" fillId="3" borderId="131" xfId="10" applyFill="1" applyBorder="1" applyAlignment="1">
      <alignment horizontal="left"/>
    </xf>
    <xf numFmtId="0" fontId="2" fillId="2" borderId="57" xfId="1" applyBorder="1" applyAlignment="1">
      <alignment horizontal="center" vertical="center" wrapText="1"/>
    </xf>
    <xf numFmtId="0" fontId="2" fillId="2" borderId="58" xfId="1" applyBorder="1" applyAlignment="1">
      <alignment horizontal="center" vertical="center" wrapText="1"/>
    </xf>
    <xf numFmtId="0" fontId="2" fillId="2" borderId="59" xfId="1" applyBorder="1" applyAlignment="1">
      <alignment horizontal="center" vertical="center" wrapText="1"/>
    </xf>
    <xf numFmtId="0" fontId="2" fillId="2" borderId="60" xfId="1" applyBorder="1" applyAlignment="1">
      <alignment horizontal="center" vertical="center" wrapText="1"/>
    </xf>
    <xf numFmtId="0" fontId="1" fillId="5" borderId="130" xfId="4" applyBorder="1" applyAlignment="1">
      <alignment horizontal="center" vertical="center" wrapText="1"/>
    </xf>
    <xf numFmtId="0" fontId="1" fillId="5" borderId="106" xfId="4" applyBorder="1" applyAlignment="1">
      <alignment horizontal="center" vertical="center" wrapText="1"/>
    </xf>
    <xf numFmtId="0" fontId="1" fillId="5" borderId="82" xfId="4" applyBorder="1" applyAlignment="1">
      <alignment horizontal="center" vertical="center" wrapText="1"/>
    </xf>
    <xf numFmtId="0" fontId="1" fillId="5" borderId="71" xfId="4" applyBorder="1" applyAlignment="1">
      <alignment horizontal="center" vertical="center" wrapText="1"/>
    </xf>
    <xf numFmtId="0" fontId="1" fillId="5" borderId="126" xfId="4" applyBorder="1" applyAlignment="1">
      <alignment horizontal="center" vertical="center" wrapText="1"/>
    </xf>
    <xf numFmtId="0" fontId="1" fillId="5" borderId="104" xfId="4" applyBorder="1" applyAlignment="1">
      <alignment horizontal="center" vertical="center" wrapText="1"/>
    </xf>
    <xf numFmtId="0" fontId="0" fillId="5" borderId="106" xfId="4" applyFont="1" applyBorder="1" applyAlignment="1">
      <alignment horizontal="center" vertical="center" wrapText="1"/>
    </xf>
    <xf numFmtId="0" fontId="0" fillId="5" borderId="71" xfId="4" applyFont="1" applyBorder="1" applyAlignment="1">
      <alignment horizontal="center" vertical="center" wrapText="1"/>
    </xf>
    <xf numFmtId="0" fontId="0" fillId="5" borderId="104" xfId="4" applyFont="1" applyBorder="1" applyAlignment="1">
      <alignment horizontal="center" vertical="center" wrapText="1"/>
    </xf>
    <xf numFmtId="0" fontId="10" fillId="3" borderId="81" xfId="10" applyFill="1" applyBorder="1" applyAlignment="1">
      <alignment horizontal="center"/>
    </xf>
    <xf numFmtId="0" fontId="10" fillId="3" borderId="102" xfId="10" applyFill="1" applyBorder="1" applyAlignment="1">
      <alignment horizontal="center"/>
    </xf>
    <xf numFmtId="0" fontId="10" fillId="3" borderId="119" xfId="10" applyFill="1" applyBorder="1" applyAlignment="1">
      <alignment horizontal="center"/>
    </xf>
    <xf numFmtId="0" fontId="10" fillId="3" borderId="82" xfId="10" applyFill="1" applyBorder="1" applyAlignment="1">
      <alignment horizontal="left"/>
    </xf>
    <xf numFmtId="0" fontId="10" fillId="3" borderId="75" xfId="10" applyFill="1" applyBorder="1" applyAlignment="1">
      <alignment horizontal="left"/>
    </xf>
    <xf numFmtId="0" fontId="10" fillId="3" borderId="115" xfId="10" applyFill="1" applyBorder="1" applyAlignment="1">
      <alignment horizontal="left"/>
    </xf>
    <xf numFmtId="0" fontId="10" fillId="3" borderId="123" xfId="10" applyFill="1" applyBorder="1" applyAlignment="1">
      <alignment horizontal="left"/>
    </xf>
    <xf numFmtId="0" fontId="10" fillId="3" borderId="103" xfId="10" applyFill="1" applyBorder="1" applyAlignment="1">
      <alignment horizontal="left"/>
    </xf>
    <xf numFmtId="0" fontId="10" fillId="3" borderId="124" xfId="10" applyFill="1" applyBorder="1" applyAlignment="1">
      <alignment horizontal="left"/>
    </xf>
    <xf numFmtId="0" fontId="3" fillId="3" borderId="127" xfId="2" applyBorder="1" applyAlignment="1">
      <alignment horizontal="center" vertical="center"/>
    </xf>
    <xf numFmtId="0" fontId="3" fillId="3" borderId="156" xfId="2" applyBorder="1" applyAlignment="1">
      <alignment horizontal="center" vertical="center"/>
    </xf>
    <xf numFmtId="0" fontId="2" fillId="2" borderId="67" xfId="1" applyBorder="1" applyAlignment="1">
      <alignment horizontal="center" vertical="center" wrapText="1"/>
    </xf>
    <xf numFmtId="0" fontId="2" fillId="2" borderId="68" xfId="1" applyBorder="1" applyAlignment="1">
      <alignment horizontal="center" vertical="center" wrapText="1"/>
    </xf>
    <xf numFmtId="0" fontId="5" fillId="8" borderId="80" xfId="7" applyBorder="1" applyAlignment="1">
      <alignment horizontal="center"/>
    </xf>
    <xf numFmtId="0" fontId="5" fillId="8" borderId="76" xfId="7" applyBorder="1" applyAlignment="1">
      <alignment horizontal="center"/>
    </xf>
    <xf numFmtId="0" fontId="5" fillId="8" borderId="147" xfId="7" applyBorder="1" applyAlignment="1">
      <alignment horizontal="center"/>
    </xf>
    <xf numFmtId="0" fontId="16" fillId="14" borderId="97" xfId="3" applyFont="1" applyFill="1" applyBorder="1" applyAlignment="1">
      <alignment horizontal="center" vertical="center" wrapText="1"/>
    </xf>
    <xf numFmtId="0" fontId="10" fillId="3" borderId="16" xfId="10" applyFill="1" applyBorder="1" applyAlignment="1">
      <alignment horizontal="left"/>
    </xf>
    <xf numFmtId="0" fontId="10" fillId="3" borderId="0" xfId="10" applyFill="1" applyBorder="1" applyAlignment="1">
      <alignment horizontal="left"/>
    </xf>
    <xf numFmtId="0" fontId="10" fillId="3" borderId="10" xfId="10" applyFill="1" applyBorder="1" applyAlignment="1">
      <alignment horizontal="left"/>
    </xf>
    <xf numFmtId="0" fontId="10" fillId="3" borderId="82" xfId="10" applyFill="1" applyBorder="1" applyAlignment="1">
      <alignment horizontal="center"/>
    </xf>
    <xf numFmtId="0" fontId="10" fillId="3" borderId="90" xfId="10" applyFill="1" applyBorder="1" applyAlignment="1">
      <alignment horizontal="center"/>
    </xf>
    <xf numFmtId="0" fontId="10" fillId="3" borderId="98" xfId="10" applyFill="1" applyBorder="1" applyAlignment="1">
      <alignment horizontal="center"/>
    </xf>
    <xf numFmtId="0" fontId="10" fillId="3" borderId="160" xfId="10" applyFill="1" applyBorder="1" applyAlignment="1">
      <alignment horizontal="left"/>
    </xf>
    <xf numFmtId="0" fontId="10" fillId="3" borderId="161" xfId="10" applyFill="1" applyBorder="1" applyAlignment="1">
      <alignment horizontal="left"/>
    </xf>
    <xf numFmtId="0" fontId="10" fillId="3" borderId="109" xfId="10" applyFill="1" applyBorder="1" applyAlignment="1">
      <alignment horizontal="left"/>
    </xf>
    <xf numFmtId="0" fontId="10" fillId="3" borderId="133" xfId="10" applyFill="1" applyBorder="1" applyAlignment="1">
      <alignment horizontal="left"/>
    </xf>
    <xf numFmtId="0" fontId="3" fillId="3" borderId="10" xfId="2" applyBorder="1" applyAlignment="1">
      <alignment horizontal="center" vertical="center"/>
    </xf>
    <xf numFmtId="0" fontId="3" fillId="3" borderId="7" xfId="2" applyBorder="1" applyAlignment="1">
      <alignment horizontal="center" vertical="center"/>
    </xf>
    <xf numFmtId="0" fontId="0" fillId="5" borderId="130" xfId="4" applyFont="1" applyBorder="1" applyAlignment="1">
      <alignment horizontal="center" vertical="center" wrapText="1"/>
    </xf>
    <xf numFmtId="0" fontId="0" fillId="5" borderId="82" xfId="4" applyFont="1" applyBorder="1" applyAlignment="1">
      <alignment horizontal="center" vertical="center" wrapText="1"/>
    </xf>
    <xf numFmtId="0" fontId="0" fillId="5" borderId="126" xfId="4" applyFont="1" applyBorder="1" applyAlignment="1">
      <alignment horizontal="center" vertical="center" wrapText="1"/>
    </xf>
    <xf numFmtId="0" fontId="0" fillId="5" borderId="100" xfId="4" applyFont="1" applyBorder="1" applyAlignment="1">
      <alignment horizontal="center" vertical="center" wrapText="1"/>
    </xf>
    <xf numFmtId="0" fontId="0" fillId="5" borderId="90" xfId="4" applyFont="1" applyBorder="1" applyAlignment="1">
      <alignment horizontal="center" vertical="center" wrapText="1"/>
    </xf>
    <xf numFmtId="0" fontId="0" fillId="5" borderId="113" xfId="4" applyFont="1" applyBorder="1" applyAlignment="1">
      <alignment horizontal="center" vertical="center" wrapText="1"/>
    </xf>
    <xf numFmtId="0" fontId="0" fillId="5" borderId="75" xfId="4" applyFont="1" applyBorder="1" applyAlignment="1">
      <alignment horizontal="center" vertical="center" wrapText="1"/>
    </xf>
    <xf numFmtId="2" fontId="5" fillId="8" borderId="4" xfId="7" applyNumberFormat="1" applyBorder="1" applyAlignment="1">
      <alignment horizontal="center"/>
    </xf>
    <xf numFmtId="2" fontId="5" fillId="8" borderId="5" xfId="7" applyNumberFormat="1" applyBorder="1" applyAlignment="1">
      <alignment horizontal="center"/>
    </xf>
    <xf numFmtId="0" fontId="0" fillId="5" borderId="117" xfId="4" applyFont="1" applyBorder="1" applyAlignment="1">
      <alignment horizontal="center" vertical="center" wrapText="1"/>
    </xf>
    <xf numFmtId="0" fontId="0" fillId="5" borderId="121" xfId="4" applyFont="1" applyBorder="1" applyAlignment="1">
      <alignment horizontal="center" vertical="center" wrapText="1"/>
    </xf>
    <xf numFmtId="0" fontId="10" fillId="3" borderId="135" xfId="10" applyFill="1" applyBorder="1" applyAlignment="1">
      <alignment horizontal="left"/>
    </xf>
    <xf numFmtId="0" fontId="3" fillId="3" borderId="78" xfId="2" applyBorder="1" applyAlignment="1">
      <alignment horizontal="center" vertical="center"/>
    </xf>
    <xf numFmtId="0" fontId="3" fillId="3" borderId="8" xfId="2" applyBorder="1" applyAlignment="1">
      <alignment horizontal="center" vertical="center"/>
    </xf>
  </cellXfs>
  <cellStyles count="12">
    <cellStyle name="40% - Ênfase1" xfId="4" builtinId="31"/>
    <cellStyle name="40% - Ênfase3" xfId="6" builtinId="39"/>
    <cellStyle name="Cálculo" xfId="2" builtinId="22"/>
    <cellStyle name="Ênfase1" xfId="3" builtinId="29"/>
    <cellStyle name="Ênfase2" xfId="5" builtinId="33"/>
    <cellStyle name="Ênfase3" xfId="8" builtinId="37"/>
    <cellStyle name="Ênfase4" xfId="7" builtinId="41"/>
    <cellStyle name="Ênfase6" xfId="9" builtinId="49"/>
    <cellStyle name="Entrada" xfId="1" builtinId="20"/>
    <cellStyle name="Normal" xfId="0" builtinId="0"/>
    <cellStyle name="Saída" xfId="11" builtinId="21"/>
    <cellStyle name="Título 4" xfId="10" builtinId="19"/>
  </cellStyles>
  <dxfs count="80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9D08C"/>
      <color rgb="FFF9B277"/>
      <color rgb="FFFABF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r.costa/Desktop/Plano%20T&#233;cnico%20para%20Julgamento%20das%20Propostas%20T&#233;cnicas%20-%20Adendo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1 A"/>
      <sheetName val="PT1 B"/>
      <sheetName val="PT 2"/>
      <sheetName val="Nt"/>
    </sheetNames>
    <sheetDataSet>
      <sheetData sheetId="0">
        <row r="10">
          <cell r="B10" t="str">
            <v>XXXXX XXXXXX XXXXXX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2"/>
  <sheetViews>
    <sheetView topLeftCell="A4" workbookViewId="0">
      <selection activeCell="B33" sqref="B33"/>
    </sheetView>
  </sheetViews>
  <sheetFormatPr defaultRowHeight="15" x14ac:dyDescent="0.25"/>
  <cols>
    <col min="2" max="2" width="31.28515625" customWidth="1"/>
    <col min="3" max="3" width="14.42578125" customWidth="1"/>
    <col min="4" max="4" width="2" customWidth="1"/>
    <col min="5" max="5" width="14.5703125" customWidth="1"/>
    <col min="6" max="6" width="18.85546875" customWidth="1"/>
    <col min="7" max="7" width="15.28515625" customWidth="1"/>
    <col min="8" max="17" width="2.7109375" customWidth="1"/>
    <col min="18" max="18" width="15.140625" customWidth="1"/>
  </cols>
  <sheetData>
    <row r="2" spans="2:18" x14ac:dyDescent="0.25">
      <c r="B2" s="220" t="s">
        <v>41</v>
      </c>
      <c r="C2" s="220"/>
      <c r="D2" s="220"/>
      <c r="E2" s="220"/>
      <c r="R2" s="2"/>
    </row>
    <row r="3" spans="2:18" x14ac:dyDescent="0.25">
      <c r="B3" s="247" t="s">
        <v>79</v>
      </c>
      <c r="C3" s="248"/>
      <c r="D3" s="248"/>
      <c r="E3" s="249"/>
      <c r="R3" s="2"/>
    </row>
    <row r="4" spans="2:18" ht="79.5" customHeight="1" x14ac:dyDescent="0.25">
      <c r="B4" s="221" t="s">
        <v>67</v>
      </c>
      <c r="C4" s="222"/>
      <c r="D4" s="222"/>
      <c r="E4" s="223"/>
    </row>
    <row r="5" spans="2:18" x14ac:dyDescent="0.25">
      <c r="B5" s="224" t="s">
        <v>45</v>
      </c>
      <c r="C5" s="225"/>
      <c r="D5" s="225"/>
      <c r="E5" s="226"/>
    </row>
    <row r="6" spans="2:18" ht="31.5" customHeight="1" x14ac:dyDescent="0.25">
      <c r="B6" s="233" t="s">
        <v>40</v>
      </c>
      <c r="C6" s="234"/>
      <c r="D6" s="234"/>
      <c r="E6" s="235"/>
    </row>
    <row r="8" spans="2:18" x14ac:dyDescent="0.25">
      <c r="B8" s="10" t="s">
        <v>54</v>
      </c>
      <c r="C8" s="10"/>
      <c r="D8" s="10"/>
    </row>
    <row r="9" spans="2:18" ht="15.75" x14ac:dyDescent="0.25">
      <c r="B9" s="250" t="s">
        <v>53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2:18" ht="15.75" x14ac:dyDescent="0.25">
      <c r="B10" s="250" t="s">
        <v>104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</row>
    <row r="12" spans="2:18" ht="15.75" thickBot="1" x14ac:dyDescent="0.3">
      <c r="B12" s="71" t="s">
        <v>3</v>
      </c>
      <c r="C12" s="236" t="s">
        <v>75</v>
      </c>
      <c r="D12" s="236"/>
      <c r="E12" s="236"/>
      <c r="F12" s="72" t="s">
        <v>83</v>
      </c>
      <c r="G12" s="72" t="s">
        <v>74</v>
      </c>
    </row>
    <row r="13" spans="2:18" x14ac:dyDescent="0.25">
      <c r="B13" s="70" t="s">
        <v>68</v>
      </c>
      <c r="C13" s="237" t="s">
        <v>105</v>
      </c>
      <c r="D13" s="238"/>
      <c r="E13" s="238"/>
      <c r="F13" s="197"/>
      <c r="G13" s="198">
        <v>26513952.969999999</v>
      </c>
    </row>
    <row r="14" spans="2:18" x14ac:dyDescent="0.25">
      <c r="B14" s="70" t="s">
        <v>69</v>
      </c>
      <c r="C14" s="239" t="s">
        <v>106</v>
      </c>
      <c r="D14" s="240"/>
      <c r="E14" s="240"/>
      <c r="F14" s="199"/>
      <c r="G14" s="200">
        <v>13148755</v>
      </c>
    </row>
    <row r="15" spans="2:18" x14ac:dyDescent="0.25">
      <c r="B15" s="70" t="s">
        <v>70</v>
      </c>
      <c r="C15" s="241">
        <v>112014</v>
      </c>
      <c r="D15" s="240"/>
      <c r="E15" s="240"/>
      <c r="F15" s="199"/>
      <c r="G15" s="200">
        <v>8525641.0199999996</v>
      </c>
    </row>
    <row r="16" spans="2:18" x14ac:dyDescent="0.25">
      <c r="B16" s="70" t="s">
        <v>71</v>
      </c>
      <c r="C16" s="242" t="s">
        <v>107</v>
      </c>
      <c r="D16" s="243"/>
      <c r="E16" s="243"/>
      <c r="F16" s="22"/>
      <c r="G16" s="23">
        <v>113625845.58</v>
      </c>
    </row>
    <row r="17" spans="2:18" ht="15.75" thickBot="1" x14ac:dyDescent="0.3">
      <c r="B17" s="70" t="s">
        <v>72</v>
      </c>
      <c r="C17" s="244"/>
      <c r="D17" s="245"/>
      <c r="E17" s="245"/>
      <c r="F17" s="24"/>
      <c r="G17" s="25"/>
    </row>
    <row r="19" spans="2:18" x14ac:dyDescent="0.25">
      <c r="B19" s="252" t="s">
        <v>6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1" t="s">
        <v>98</v>
      </c>
      <c r="M19" s="251"/>
      <c r="N19" s="251"/>
      <c r="O19" s="251"/>
      <c r="P19" s="251"/>
      <c r="Q19" s="118">
        <f>G21+R21</f>
        <v>10</v>
      </c>
      <c r="R19" s="119" t="s">
        <v>7</v>
      </c>
    </row>
    <row r="20" spans="2:18" x14ac:dyDescent="0.25">
      <c r="B20" s="255" t="s">
        <v>1</v>
      </c>
      <c r="C20" s="256"/>
      <c r="D20" s="256"/>
      <c r="E20" s="256"/>
      <c r="F20" s="68" t="s">
        <v>8</v>
      </c>
      <c r="G20" s="68" t="s">
        <v>2</v>
      </c>
      <c r="H20" s="256" t="s">
        <v>4</v>
      </c>
      <c r="I20" s="256"/>
      <c r="J20" s="256"/>
      <c r="K20" s="256"/>
      <c r="L20" s="256"/>
      <c r="M20" s="256"/>
      <c r="N20" s="256"/>
      <c r="O20" s="256"/>
      <c r="P20" s="256"/>
      <c r="Q20" s="256"/>
      <c r="R20" s="120" t="s">
        <v>97</v>
      </c>
    </row>
    <row r="21" spans="2:18" x14ac:dyDescent="0.25">
      <c r="B21" s="255"/>
      <c r="C21" s="256"/>
      <c r="D21" s="256"/>
      <c r="E21" s="256"/>
      <c r="F21" s="68" t="s">
        <v>5</v>
      </c>
      <c r="G21" s="127">
        <v>7</v>
      </c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29">
        <v>3</v>
      </c>
    </row>
    <row r="22" spans="2:18" ht="30" customHeight="1" x14ac:dyDescent="0.25">
      <c r="B22" s="255"/>
      <c r="C22" s="256"/>
      <c r="D22" s="256"/>
      <c r="E22" s="256"/>
      <c r="F22" s="246" t="s">
        <v>0</v>
      </c>
      <c r="G22" s="227" t="s">
        <v>63</v>
      </c>
      <c r="H22" s="257"/>
      <c r="I22" s="256"/>
      <c r="J22" s="256"/>
      <c r="K22" s="256"/>
      <c r="L22" s="256"/>
      <c r="M22" s="256"/>
      <c r="N22" s="256"/>
      <c r="O22" s="256"/>
      <c r="P22" s="256"/>
      <c r="Q22" s="258"/>
      <c r="R22" s="230" t="s">
        <v>64</v>
      </c>
    </row>
    <row r="23" spans="2:18" ht="15.75" thickBot="1" x14ac:dyDescent="0.3">
      <c r="B23" s="255"/>
      <c r="C23" s="256"/>
      <c r="D23" s="256"/>
      <c r="E23" s="256"/>
      <c r="F23" s="246"/>
      <c r="G23" s="228"/>
      <c r="H23" s="259">
        <v>1</v>
      </c>
      <c r="I23" s="260"/>
      <c r="J23" s="260">
        <v>2</v>
      </c>
      <c r="K23" s="260"/>
      <c r="L23" s="260">
        <v>3</v>
      </c>
      <c r="M23" s="260"/>
      <c r="N23" s="260">
        <v>4</v>
      </c>
      <c r="O23" s="260"/>
      <c r="P23" s="260">
        <v>5</v>
      </c>
      <c r="Q23" s="261"/>
      <c r="R23" s="231"/>
    </row>
    <row r="24" spans="2:18" ht="15" customHeight="1" x14ac:dyDescent="0.25">
      <c r="B24" s="121" t="s">
        <v>77</v>
      </c>
      <c r="C24" s="80">
        <v>6000000</v>
      </c>
      <c r="D24" s="78"/>
      <c r="E24" s="76"/>
      <c r="F24" s="73">
        <v>3</v>
      </c>
      <c r="G24" s="229"/>
      <c r="H24" s="201" t="s">
        <v>17</v>
      </c>
      <c r="I24" s="202" t="s">
        <v>17</v>
      </c>
      <c r="J24" s="203" t="s">
        <v>17</v>
      </c>
      <c r="K24" s="202"/>
      <c r="L24" s="203" t="s">
        <v>17</v>
      </c>
      <c r="M24" s="49" t="s">
        <v>17</v>
      </c>
      <c r="N24" s="46"/>
      <c r="O24" s="49" t="s">
        <v>17</v>
      </c>
      <c r="P24" s="46"/>
      <c r="Q24" s="52"/>
      <c r="R24" s="232"/>
    </row>
    <row r="25" spans="2:18" ht="15" customHeight="1" x14ac:dyDescent="0.25">
      <c r="B25" s="121" t="s">
        <v>82</v>
      </c>
      <c r="C25" s="80">
        <v>3000000</v>
      </c>
      <c r="D25" s="79" t="s">
        <v>81</v>
      </c>
      <c r="E25" s="77">
        <v>6000000</v>
      </c>
      <c r="F25" s="73">
        <v>2</v>
      </c>
      <c r="G25" s="229"/>
      <c r="H25" s="44"/>
      <c r="I25" s="50"/>
      <c r="J25" s="47"/>
      <c r="K25" s="50"/>
      <c r="L25" s="47"/>
      <c r="M25" s="50"/>
      <c r="N25" s="47"/>
      <c r="O25" s="50"/>
      <c r="P25" s="47"/>
      <c r="Q25" s="53"/>
      <c r="R25" s="232"/>
    </row>
    <row r="26" spans="2:18" ht="15" customHeight="1" thickBot="1" x14ac:dyDescent="0.3">
      <c r="B26" s="122" t="s">
        <v>78</v>
      </c>
      <c r="C26" s="123">
        <v>3000000</v>
      </c>
      <c r="D26" s="124"/>
      <c r="E26" s="125"/>
      <c r="F26" s="126">
        <v>1</v>
      </c>
      <c r="G26" s="229"/>
      <c r="H26" s="45"/>
      <c r="I26" s="51"/>
      <c r="J26" s="48"/>
      <c r="K26" s="51"/>
      <c r="L26" s="48"/>
      <c r="M26" s="51"/>
      <c r="N26" s="48"/>
      <c r="O26" s="51"/>
      <c r="P26" s="48"/>
      <c r="Q26" s="54"/>
      <c r="R26" s="232"/>
    </row>
    <row r="27" spans="2:18" x14ac:dyDescent="0.25">
      <c r="F27" s="1"/>
      <c r="G27" s="228"/>
      <c r="H27" s="81">
        <f>COUNTA(H24:H26)</f>
        <v>1</v>
      </c>
      <c r="I27" s="81">
        <f>COUNTA(I24:I26)</f>
        <v>1</v>
      </c>
      <c r="J27" s="81">
        <f>COUNTA(J24:J26)</f>
        <v>1</v>
      </c>
      <c r="K27" s="81">
        <f t="shared" ref="K27" si="0">COUNTA(K24:K26)</f>
        <v>0</v>
      </c>
      <c r="L27" s="81">
        <f>COUNTA(L24:L26)</f>
        <v>1</v>
      </c>
      <c r="M27" s="81">
        <f t="shared" ref="M27" si="1">COUNTA(M24:M26)</f>
        <v>1</v>
      </c>
      <c r="N27" s="81">
        <f>COUNTA(N24:N26)</f>
        <v>0</v>
      </c>
      <c r="O27" s="81">
        <f t="shared" ref="O27" si="2">COUNTA(O24:O26)</f>
        <v>1</v>
      </c>
      <c r="P27" s="81">
        <f>COUNTA(P24:P26)</f>
        <v>0</v>
      </c>
      <c r="Q27" s="81">
        <f t="shared" ref="Q27" si="3">COUNTA(Q24:Q26)</f>
        <v>0</v>
      </c>
      <c r="R27" s="231"/>
    </row>
    <row r="28" spans="2:18" x14ac:dyDescent="0.25">
      <c r="F28" s="1"/>
      <c r="G28" s="228"/>
      <c r="H28" s="58">
        <f>COUNTA(H24,I24)</f>
        <v>2</v>
      </c>
      <c r="I28" s="58">
        <f>COUNTA(I24,S24)</f>
        <v>1</v>
      </c>
      <c r="J28" s="58">
        <f>COUNTA(J24,K24)</f>
        <v>1</v>
      </c>
      <c r="K28" s="58">
        <f>COUNTA(K24,T24)</f>
        <v>0</v>
      </c>
      <c r="L28" s="58">
        <f>COUNTA(L24,M24)</f>
        <v>2</v>
      </c>
      <c r="M28" s="58">
        <f>COUNTA(M24,U24)</f>
        <v>1</v>
      </c>
      <c r="N28" s="58">
        <f>COUNTA(N24,Q24)</f>
        <v>0</v>
      </c>
      <c r="O28" s="58">
        <f>COUNTA(O24,W24)</f>
        <v>1</v>
      </c>
      <c r="P28" s="58">
        <f>COUNTA(P24,O24)</f>
        <v>1</v>
      </c>
      <c r="Q28" s="58">
        <f t="shared" ref="Q28" si="4">COUNTA(Q24,V24)</f>
        <v>0</v>
      </c>
      <c r="R28" s="231"/>
    </row>
    <row r="29" spans="2:18" x14ac:dyDescent="0.25">
      <c r="F29" s="14" t="s">
        <v>22</v>
      </c>
      <c r="G29" s="228"/>
      <c r="H29" s="12" t="str">
        <f>IF(OR(AND(COUNTA(H24)&gt;0,OR(G13="",G13&lt;$C$24)),AND(COUNTA(H25)&gt;0,OR(G13="",G13&lt;$C$25,G13&gt;$E$25)),H27&gt;1,AND(H27&gt;0,G13=""),AND(COUNTA(H26)&gt;0,G13&gt;C26)),"X","")</f>
        <v/>
      </c>
      <c r="I29" s="82" t="str">
        <f>IF(OR(AND(COUNTA(I24)&gt;0,OR(G13="",G13&lt;$C$24)),AND(COUNTA(I25)&gt;0,OR(G13="",G13&lt;$C$25,G13&gt;$E$25)),I27&gt;1,AND(I27&gt;0,G13=""),AND(COUNTA(I26)&gt;0,G13&gt;C26)),"X","")</f>
        <v/>
      </c>
      <c r="J29" s="82" t="str">
        <f>IF(OR(AND(COUNTA(J24)&gt;0,OR(G14="",G14&lt;$C$24)),AND(COUNTA(J25)&gt;0,OR(G14="",G14&lt;$C$25,G14&gt;$E$25)),J27&gt;1,AND(J27&gt;0,G14=""),AND(COUNTA(J26)&gt;0,G14&gt;C26)),"X","")</f>
        <v/>
      </c>
      <c r="K29" s="82" t="str">
        <f>IF(OR(AND(COUNTA(K24)&gt;0,OR(G14="",G14&lt;$C$24)),AND(COUNTA(K25)&gt;0,OR(G14="",G14&lt;$C$25,G14&gt;$E$25)),K27&gt;1,AND(K27&gt;0,G14=""),AND(COUNTA(K26)&gt;0,G14&gt;C26)),"X","")</f>
        <v/>
      </c>
      <c r="L29" s="82" t="str">
        <f>IF(OR(AND(COUNTA(L24)&gt;0,OR(G15="",G15&lt;$C$24)),AND(COUNTA(L25)&gt;0,OR(G15="",G15&lt;$C$25,G15&gt;$E$25)),L27&gt;1,AND(L27&gt;0,G15=""),AND(COUNTA(L26)&gt;0,G15&gt;C26)),"X","")</f>
        <v/>
      </c>
      <c r="M29" s="82" t="str">
        <f>IF(OR(AND(COUNTA(M24)&gt;0,OR(G15="",G15&lt;$C$24)),AND(COUNTA(M25)&gt;0,OR(G15="",G15&lt;$C$25,G15&gt;$E$25)),M27&gt;1,AND(M27&gt;0,G15=""),AND(COUNTA(M26)&gt;0,G15&gt;C26)),"X","")</f>
        <v/>
      </c>
      <c r="N29" s="82" t="str">
        <f>IF(OR(AND(COUNTA(N24)&gt;0,OR(G16="",G16&lt;$C$24)),AND(COUNTA(N25)&gt;0,OR(G16="",G16&lt;$C$25,G16&gt;$E$25)),N27&gt;1,AND(N27&gt;0,G16=""),AND(COUNTA(N26)&gt;0,G16&gt;C26)),"X","")</f>
        <v/>
      </c>
      <c r="O29" s="82" t="str">
        <f>IF(OR(AND(COUNTA(O24)&gt;0,OR(G16="",G16&lt;$C$24)),AND(COUNTA(O25)&gt;0,OR(G16="",G16&lt;$C$25,G16&gt;$E$25)),O27&gt;1,AND(O27&gt;0,G16=""),AND(COUNTA(O26)&gt;0,G16&gt;C26)),"X","")</f>
        <v/>
      </c>
      <c r="P29" s="82" t="str">
        <f>IF(OR(AND(COUNTA(P24)&gt;0,OR(G17="",G17&lt;$C$24)),AND(COUNTA(P25)&gt;0,OR(G17="",G17&lt;$C$25,G17&gt;$E$25)),P27&gt;1,AND(P27&gt;0,G17=""),AND(COUNTA(P26)&gt;0,G17&gt;C26)),"X","")</f>
        <v/>
      </c>
      <c r="Q29" s="16" t="str">
        <f>IF(OR(AND(COUNTA(Q24)&gt;0,OR(G17="",G17&lt;$C$24)),AND(COUNTA(Q25)&gt;0,OR(G17="",G17&lt;$C$25,G17&gt;$E$25)),Q27&gt;1,AND(Q27&gt;0,G17=""),AND(COUNTA(Q26)&gt;0,G17&gt;C26)),"X","")</f>
        <v/>
      </c>
      <c r="R29" s="231"/>
    </row>
    <row r="30" spans="2:18" x14ac:dyDescent="0.25">
      <c r="F30" s="14" t="s">
        <v>19</v>
      </c>
      <c r="G30" s="228"/>
      <c r="H30" s="15">
        <f>IF(H29&lt;&gt;"X",IF(COUNTA(H24)&gt;0,$F$24,IF(COUNTA(H25)&gt;0,$F$25,IF(COUNTA(H26)&gt;0,$F$26,0))),0)</f>
        <v>3</v>
      </c>
      <c r="I30" s="57">
        <f t="shared" ref="I30:Q30" si="5">IF(I29&lt;&gt;"X",IF(COUNTA(I24)&gt;0,$F$24,IF(COUNTA(I25)&gt;0,$F$25,IF(COUNTA(I26)&gt;0,$F$26,0))),0)</f>
        <v>3</v>
      </c>
      <c r="J30" s="57">
        <f t="shared" si="5"/>
        <v>3</v>
      </c>
      <c r="K30" s="57">
        <f t="shared" si="5"/>
        <v>0</v>
      </c>
      <c r="L30" s="57">
        <f t="shared" si="5"/>
        <v>3</v>
      </c>
      <c r="M30" s="57">
        <f t="shared" si="5"/>
        <v>3</v>
      </c>
      <c r="N30" s="57">
        <f t="shared" si="5"/>
        <v>0</v>
      </c>
      <c r="O30" s="57">
        <f t="shared" si="5"/>
        <v>3</v>
      </c>
      <c r="P30" s="57">
        <f t="shared" si="5"/>
        <v>0</v>
      </c>
      <c r="Q30" s="14">
        <f t="shared" si="5"/>
        <v>0</v>
      </c>
      <c r="R30" s="231"/>
    </row>
    <row r="31" spans="2:18" x14ac:dyDescent="0.25">
      <c r="F31" s="14" t="s">
        <v>23</v>
      </c>
      <c r="G31" s="128">
        <f>IF(H30+J30+L30+N30+P30&gt;G21,G21,H30+J30+L30+N30+P30)</f>
        <v>7</v>
      </c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130">
        <f>IF(I30+K30+M30+O30+Q30&gt;R21,R21,I30+K30+M30+O30+Q30)</f>
        <v>3</v>
      </c>
    </row>
    <row r="32" spans="2:18" x14ac:dyDescent="0.25">
      <c r="G32" s="18" t="s">
        <v>44</v>
      </c>
      <c r="H32" s="254">
        <f>G31+R31</f>
        <v>10</v>
      </c>
      <c r="I32" s="254"/>
      <c r="J32" s="254"/>
      <c r="K32" s="254"/>
      <c r="L32" s="254"/>
      <c r="M32" s="254"/>
      <c r="N32" s="254"/>
      <c r="O32" s="254"/>
      <c r="P32" s="254"/>
      <c r="Q32" s="254"/>
      <c r="R32" s="13" t="s">
        <v>42</v>
      </c>
    </row>
  </sheetData>
  <sheetProtection password="C74A" sheet="1" objects="1" scenarios="1"/>
  <protectedRanges>
    <protectedRange sqref="B10:R10" name="Intervalo3"/>
    <protectedRange sqref="C13:G17" name="Intervalo2"/>
    <protectedRange sqref="H24:Q26" name="Intervalo1"/>
  </protectedRanges>
  <mergeCells count="27">
    <mergeCell ref="L19:P19"/>
    <mergeCell ref="B19:K19"/>
    <mergeCell ref="H32:Q32"/>
    <mergeCell ref="B20:E23"/>
    <mergeCell ref="H20:Q22"/>
    <mergeCell ref="H23:I23"/>
    <mergeCell ref="J23:K23"/>
    <mergeCell ref="L23:M23"/>
    <mergeCell ref="N23:O23"/>
    <mergeCell ref="P23:Q23"/>
    <mergeCell ref="H31:Q31"/>
    <mergeCell ref="B2:E2"/>
    <mergeCell ref="B4:E4"/>
    <mergeCell ref="B5:E5"/>
    <mergeCell ref="G22:G30"/>
    <mergeCell ref="R22:R30"/>
    <mergeCell ref="B6:E6"/>
    <mergeCell ref="C12:E12"/>
    <mergeCell ref="C13:E13"/>
    <mergeCell ref="C14:E14"/>
    <mergeCell ref="C15:E15"/>
    <mergeCell ref="C16:E16"/>
    <mergeCell ref="C17:E17"/>
    <mergeCell ref="F22:F23"/>
    <mergeCell ref="B3:E3"/>
    <mergeCell ref="B9:R9"/>
    <mergeCell ref="B10:R10"/>
  </mergeCells>
  <conditionalFormatting sqref="H29:Q29">
    <cfRule type="cellIs" dxfId="79" priority="2" operator="equal">
      <formula>"X"</formula>
    </cfRule>
  </conditionalFormatting>
  <pageMargins left="0.51181102362204722" right="0.51181102362204722" top="0.78740157480314965" bottom="0.78740157480314965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51"/>
  <sheetViews>
    <sheetView topLeftCell="A7" workbookViewId="0">
      <selection activeCell="E16" sqref="E16"/>
    </sheetView>
  </sheetViews>
  <sheetFormatPr defaultRowHeight="15" x14ac:dyDescent="0.25"/>
  <cols>
    <col min="1" max="1" width="9.140625" customWidth="1"/>
    <col min="2" max="2" width="26" customWidth="1"/>
    <col min="3" max="3" width="17.42578125" customWidth="1"/>
    <col min="4" max="4" width="18" bestFit="1" customWidth="1"/>
    <col min="5" max="5" width="18" customWidth="1"/>
    <col min="6" max="6" width="16.5703125" customWidth="1"/>
    <col min="7" max="18" width="2.7109375" customWidth="1"/>
    <col min="19" max="19" width="16.7109375" customWidth="1"/>
    <col min="20" max="20" width="5.5703125" customWidth="1"/>
    <col min="21" max="21" width="11.7109375" customWidth="1"/>
    <col min="22" max="22" width="12.42578125" bestFit="1" customWidth="1"/>
    <col min="23" max="23" width="10.140625" customWidth="1"/>
    <col min="24" max="24" width="9.42578125" customWidth="1"/>
    <col min="25" max="25" width="11.42578125" customWidth="1"/>
    <col min="26" max="26" width="11" bestFit="1" customWidth="1"/>
  </cols>
  <sheetData>
    <row r="2" spans="2:25" x14ac:dyDescent="0.25">
      <c r="B2" s="296" t="s">
        <v>41</v>
      </c>
      <c r="C2" s="297"/>
      <c r="D2" s="297"/>
      <c r="E2" s="298"/>
      <c r="V2" s="3"/>
      <c r="W2" s="3"/>
      <c r="X2" s="3"/>
      <c r="Y2" s="3"/>
    </row>
    <row r="3" spans="2:25" x14ac:dyDescent="0.25">
      <c r="B3" s="247" t="s">
        <v>79</v>
      </c>
      <c r="C3" s="248"/>
      <c r="D3" s="248"/>
      <c r="E3" s="249"/>
      <c r="V3" s="3"/>
      <c r="W3" s="3"/>
      <c r="X3" s="3"/>
      <c r="Y3" s="3"/>
    </row>
    <row r="4" spans="2:25" ht="66" customHeight="1" x14ac:dyDescent="0.25">
      <c r="B4" s="221" t="s">
        <v>67</v>
      </c>
      <c r="C4" s="222"/>
      <c r="D4" s="222"/>
      <c r="E4" s="223"/>
      <c r="Y4" s="3"/>
    </row>
    <row r="5" spans="2:25" ht="14.25" customHeight="1" x14ac:dyDescent="0.25">
      <c r="B5" s="299" t="s">
        <v>16</v>
      </c>
      <c r="C5" s="300"/>
      <c r="D5" s="300"/>
      <c r="E5" s="301"/>
    </row>
    <row r="6" spans="2:25" ht="27.75" customHeight="1" x14ac:dyDescent="0.25">
      <c r="B6" s="299" t="s">
        <v>65</v>
      </c>
      <c r="C6" s="300"/>
      <c r="D6" s="300"/>
      <c r="E6" s="301"/>
    </row>
    <row r="7" spans="2:25" ht="28.5" customHeight="1" x14ac:dyDescent="0.25">
      <c r="B7" s="233" t="s">
        <v>40</v>
      </c>
      <c r="C7" s="234"/>
      <c r="D7" s="234"/>
      <c r="E7" s="235"/>
    </row>
    <row r="9" spans="2:25" ht="15.75" x14ac:dyDescent="0.25">
      <c r="B9" s="250" t="s">
        <v>53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</row>
    <row r="10" spans="2:25" ht="15.75" x14ac:dyDescent="0.25">
      <c r="B10" s="250" t="str">
        <f>'PT1 A'!B10</f>
        <v>Engevix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</row>
    <row r="11" spans="2:25" ht="15.75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25" ht="15.75" thickBot="1" x14ac:dyDescent="0.3">
      <c r="B12" s="104" t="s">
        <v>3</v>
      </c>
      <c r="C12" s="105" t="s">
        <v>75</v>
      </c>
      <c r="D12" s="105" t="s">
        <v>83</v>
      </c>
      <c r="E12" s="106" t="s">
        <v>74</v>
      </c>
    </row>
    <row r="13" spans="2:25" x14ac:dyDescent="0.25">
      <c r="B13" s="95" t="s">
        <v>68</v>
      </c>
      <c r="C13" s="204">
        <v>252014047319</v>
      </c>
      <c r="D13" s="197"/>
      <c r="E13" s="198">
        <v>20017025.710000001</v>
      </c>
    </row>
    <row r="14" spans="2:25" x14ac:dyDescent="0.25">
      <c r="B14" s="95" t="s">
        <v>69</v>
      </c>
      <c r="C14" s="205" t="s">
        <v>108</v>
      </c>
      <c r="D14" s="199"/>
      <c r="E14" s="200">
        <v>61902594.039999999</v>
      </c>
    </row>
    <row r="15" spans="2:25" x14ac:dyDescent="0.25">
      <c r="B15" s="95" t="s">
        <v>70</v>
      </c>
      <c r="C15" s="205" t="s">
        <v>109</v>
      </c>
      <c r="D15" s="199"/>
      <c r="E15" s="200">
        <v>132548947.38</v>
      </c>
    </row>
    <row r="16" spans="2:25" x14ac:dyDescent="0.25">
      <c r="B16" s="95" t="s">
        <v>71</v>
      </c>
      <c r="C16" s="205" t="s">
        <v>110</v>
      </c>
      <c r="D16" s="199"/>
      <c r="E16" s="200">
        <v>40759541.009999998</v>
      </c>
    </row>
    <row r="17" spans="2:20" x14ac:dyDescent="0.25">
      <c r="B17" s="95" t="s">
        <v>72</v>
      </c>
      <c r="C17" s="205">
        <v>86038</v>
      </c>
      <c r="D17" s="199"/>
      <c r="E17" s="200">
        <v>17973244.440000001</v>
      </c>
    </row>
    <row r="18" spans="2:20" ht="15.75" thickBot="1" x14ac:dyDescent="0.3">
      <c r="B18" s="103" t="s">
        <v>73</v>
      </c>
      <c r="C18" s="206">
        <v>1016442014</v>
      </c>
      <c r="D18" s="207"/>
      <c r="E18" s="208">
        <v>38070182.68</v>
      </c>
    </row>
    <row r="19" spans="2:20" x14ac:dyDescent="0.25"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0" x14ac:dyDescent="0.25">
      <c r="B20" s="278" t="s">
        <v>9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7" t="s">
        <v>98</v>
      </c>
      <c r="M20" s="277"/>
      <c r="N20" s="277"/>
      <c r="O20" s="277"/>
      <c r="P20" s="277"/>
      <c r="Q20" s="276">
        <f>F22+S22</f>
        <v>34</v>
      </c>
      <c r="R20" s="276"/>
      <c r="S20" s="107" t="s">
        <v>7</v>
      </c>
      <c r="T20" s="3"/>
    </row>
    <row r="21" spans="2:20" ht="15" customHeight="1" x14ac:dyDescent="0.25">
      <c r="B21" s="264" t="s">
        <v>1</v>
      </c>
      <c r="C21" s="265"/>
      <c r="D21" s="279" t="s">
        <v>8</v>
      </c>
      <c r="E21" s="280"/>
      <c r="F21" s="113" t="s">
        <v>10</v>
      </c>
      <c r="G21" s="288" t="s">
        <v>4</v>
      </c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108" t="s">
        <v>66</v>
      </c>
      <c r="T21" s="3"/>
    </row>
    <row r="22" spans="2:20" x14ac:dyDescent="0.25">
      <c r="B22" s="255"/>
      <c r="C22" s="256"/>
      <c r="D22" s="279" t="s">
        <v>5</v>
      </c>
      <c r="E22" s="280"/>
      <c r="F22" s="114">
        <v>24</v>
      </c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109">
        <v>10</v>
      </c>
      <c r="T22" s="3"/>
    </row>
    <row r="23" spans="2:20" ht="30" customHeight="1" x14ac:dyDescent="0.25">
      <c r="B23" s="255"/>
      <c r="C23" s="256"/>
      <c r="D23" s="288" t="s">
        <v>0</v>
      </c>
      <c r="E23" s="293" t="s">
        <v>43</v>
      </c>
      <c r="F23" s="227" t="s">
        <v>63</v>
      </c>
      <c r="G23" s="289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46"/>
      <c r="S23" s="230" t="s">
        <v>64</v>
      </c>
      <c r="T23" s="3"/>
    </row>
    <row r="24" spans="2:20" x14ac:dyDescent="0.25">
      <c r="B24" s="255"/>
      <c r="C24" s="256"/>
      <c r="D24" s="288"/>
      <c r="E24" s="294"/>
      <c r="F24" s="228"/>
      <c r="G24" s="272">
        <v>1</v>
      </c>
      <c r="H24" s="273"/>
      <c r="I24" s="273">
        <v>2</v>
      </c>
      <c r="J24" s="273"/>
      <c r="K24" s="273">
        <v>3</v>
      </c>
      <c r="L24" s="273"/>
      <c r="M24" s="273">
        <v>4</v>
      </c>
      <c r="N24" s="273"/>
      <c r="O24" s="273">
        <v>5</v>
      </c>
      <c r="P24" s="273"/>
      <c r="Q24" s="273">
        <v>6</v>
      </c>
      <c r="R24" s="291"/>
      <c r="S24" s="231"/>
      <c r="T24" s="3"/>
    </row>
    <row r="25" spans="2:20" ht="15.75" thickBot="1" x14ac:dyDescent="0.3">
      <c r="B25" s="255"/>
      <c r="C25" s="256"/>
      <c r="D25" s="288"/>
      <c r="E25" s="295"/>
      <c r="F25" s="228"/>
      <c r="G25" s="274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92"/>
      <c r="S25" s="231"/>
      <c r="T25" s="3"/>
    </row>
    <row r="26" spans="2:20" ht="15.75" customHeight="1" x14ac:dyDescent="0.25">
      <c r="B26" s="267" t="s">
        <v>77</v>
      </c>
      <c r="C26" s="268"/>
      <c r="D26" s="282">
        <v>6</v>
      </c>
      <c r="E26" s="110" t="s">
        <v>15</v>
      </c>
      <c r="F26" s="229"/>
      <c r="G26" s="209"/>
      <c r="H26" s="210"/>
      <c r="I26" s="211"/>
      <c r="J26" s="210"/>
      <c r="K26" s="211"/>
      <c r="L26" s="210"/>
      <c r="M26" s="209"/>
      <c r="N26" s="210"/>
      <c r="O26" s="211" t="s">
        <v>17</v>
      </c>
      <c r="P26" s="210" t="s">
        <v>17</v>
      </c>
      <c r="Q26" s="39" t="s">
        <v>17</v>
      </c>
      <c r="R26" s="31"/>
      <c r="S26" s="232"/>
      <c r="T26" s="4">
        <f>COUNTA(G26,I26,K26,M26,O26,Q26)</f>
        <v>2</v>
      </c>
    </row>
    <row r="27" spans="2:20" ht="15.75" customHeight="1" x14ac:dyDescent="0.25">
      <c r="B27" s="269"/>
      <c r="C27" s="268"/>
      <c r="D27" s="282"/>
      <c r="E27" s="110" t="s">
        <v>13</v>
      </c>
      <c r="F27" s="229"/>
      <c r="G27" s="212"/>
      <c r="H27" s="213"/>
      <c r="I27" s="214"/>
      <c r="J27" s="213" t="s">
        <v>17</v>
      </c>
      <c r="K27" s="214" t="s">
        <v>17</v>
      </c>
      <c r="L27" s="213" t="s">
        <v>17</v>
      </c>
      <c r="M27" s="212" t="s">
        <v>17</v>
      </c>
      <c r="N27" s="213"/>
      <c r="O27" s="214" t="s">
        <v>17</v>
      </c>
      <c r="P27" s="213" t="s">
        <v>17</v>
      </c>
      <c r="Q27" s="40"/>
      <c r="R27" s="32"/>
      <c r="S27" s="232"/>
      <c r="T27" s="4">
        <f t="shared" ref="T27:T37" si="0">COUNTA(G27,I27,K27,M27,O27,Q27)</f>
        <v>3</v>
      </c>
    </row>
    <row r="28" spans="2:20" ht="15.75" customHeight="1" x14ac:dyDescent="0.25">
      <c r="B28" s="269"/>
      <c r="C28" s="268"/>
      <c r="D28" s="282"/>
      <c r="E28" s="110" t="s">
        <v>11</v>
      </c>
      <c r="F28" s="229"/>
      <c r="G28" s="212"/>
      <c r="H28" s="213"/>
      <c r="I28" s="214"/>
      <c r="J28" s="213"/>
      <c r="K28" s="214"/>
      <c r="L28" s="213"/>
      <c r="M28" s="212"/>
      <c r="N28" s="213"/>
      <c r="O28" s="214" t="s">
        <v>17</v>
      </c>
      <c r="P28" s="213" t="s">
        <v>17</v>
      </c>
      <c r="Q28" s="40"/>
      <c r="R28" s="32"/>
      <c r="S28" s="232"/>
      <c r="T28" s="4">
        <f t="shared" si="0"/>
        <v>1</v>
      </c>
    </row>
    <row r="29" spans="2:20" ht="15.75" customHeight="1" x14ac:dyDescent="0.25">
      <c r="B29" s="284">
        <v>6000000</v>
      </c>
      <c r="C29" s="285"/>
      <c r="D29" s="282"/>
      <c r="E29" s="110" t="s">
        <v>12</v>
      </c>
      <c r="F29" s="229"/>
      <c r="G29" s="212"/>
      <c r="H29" s="213" t="s">
        <v>17</v>
      </c>
      <c r="I29" s="212"/>
      <c r="J29" s="213" t="s">
        <v>17</v>
      </c>
      <c r="K29" s="212" t="s">
        <v>17</v>
      </c>
      <c r="L29" s="213"/>
      <c r="M29" s="212"/>
      <c r="N29" s="213"/>
      <c r="O29" s="214"/>
      <c r="P29" s="213"/>
      <c r="Q29" s="40"/>
      <c r="R29" s="32"/>
      <c r="S29" s="232"/>
      <c r="T29" s="4">
        <f t="shared" si="0"/>
        <v>1</v>
      </c>
    </row>
    <row r="30" spans="2:20" ht="15.75" customHeight="1" x14ac:dyDescent="0.25">
      <c r="B30" s="284"/>
      <c r="C30" s="285"/>
      <c r="D30" s="282"/>
      <c r="E30" s="110" t="s">
        <v>14</v>
      </c>
      <c r="F30" s="229"/>
      <c r="G30" s="212"/>
      <c r="H30" s="213" t="s">
        <v>17</v>
      </c>
      <c r="I30" s="212"/>
      <c r="J30" s="213" t="s">
        <v>17</v>
      </c>
      <c r="K30" s="212" t="s">
        <v>17</v>
      </c>
      <c r="L30" s="213" t="s">
        <v>17</v>
      </c>
      <c r="M30" s="212" t="s">
        <v>17</v>
      </c>
      <c r="N30" s="213"/>
      <c r="O30" s="214" t="s">
        <v>17</v>
      </c>
      <c r="P30" s="213" t="s">
        <v>17</v>
      </c>
      <c r="Q30" s="40" t="s">
        <v>17</v>
      </c>
      <c r="R30" s="32"/>
      <c r="S30" s="232"/>
      <c r="T30" s="4">
        <f t="shared" si="0"/>
        <v>4</v>
      </c>
    </row>
    <row r="31" spans="2:20" ht="15.75" customHeight="1" x14ac:dyDescent="0.25">
      <c r="B31" s="284"/>
      <c r="C31" s="285"/>
      <c r="D31" s="282"/>
      <c r="E31" s="111" t="s">
        <v>80</v>
      </c>
      <c r="F31" s="229"/>
      <c r="G31" s="215"/>
      <c r="H31" s="216" t="s">
        <v>17</v>
      </c>
      <c r="I31" s="215"/>
      <c r="J31" s="216" t="s">
        <v>17</v>
      </c>
      <c r="K31" s="215" t="s">
        <v>17</v>
      </c>
      <c r="L31" s="216" t="s">
        <v>17</v>
      </c>
      <c r="M31" s="215" t="s">
        <v>17</v>
      </c>
      <c r="N31" s="216"/>
      <c r="O31" s="217"/>
      <c r="P31" s="216"/>
      <c r="Q31" s="41"/>
      <c r="R31" s="33"/>
      <c r="S31" s="232"/>
      <c r="T31" s="4">
        <f t="shared" si="0"/>
        <v>2</v>
      </c>
    </row>
    <row r="32" spans="2:20" ht="15.75" customHeight="1" x14ac:dyDescent="0.25">
      <c r="B32" s="267" t="s">
        <v>78</v>
      </c>
      <c r="C32" s="268"/>
      <c r="D32" s="282">
        <v>3</v>
      </c>
      <c r="E32" s="110" t="s">
        <v>15</v>
      </c>
      <c r="F32" s="229"/>
      <c r="G32" s="37"/>
      <c r="H32" s="29"/>
      <c r="I32" s="42"/>
      <c r="J32" s="29"/>
      <c r="K32" s="42"/>
      <c r="L32" s="29"/>
      <c r="M32" s="42"/>
      <c r="N32" s="29"/>
      <c r="O32" s="42"/>
      <c r="P32" s="29"/>
      <c r="Q32" s="42"/>
      <c r="R32" s="34"/>
      <c r="S32" s="232"/>
      <c r="T32" s="4">
        <f t="shared" si="0"/>
        <v>0</v>
      </c>
    </row>
    <row r="33" spans="2:26" ht="15" customHeight="1" x14ac:dyDescent="0.25">
      <c r="B33" s="269"/>
      <c r="C33" s="268"/>
      <c r="D33" s="282"/>
      <c r="E33" s="110" t="s">
        <v>13</v>
      </c>
      <c r="F33" s="229"/>
      <c r="G33" s="36"/>
      <c r="H33" s="28"/>
      <c r="I33" s="40"/>
      <c r="J33" s="28"/>
      <c r="K33" s="40"/>
      <c r="L33" s="28"/>
      <c r="M33" s="40"/>
      <c r="N33" s="28"/>
      <c r="O33" s="40"/>
      <c r="P33" s="28"/>
      <c r="Q33" s="40"/>
      <c r="R33" s="32"/>
      <c r="S33" s="232"/>
      <c r="T33" s="4">
        <f t="shared" si="0"/>
        <v>0</v>
      </c>
      <c r="Y33" s="3"/>
      <c r="Z33" s="3"/>
    </row>
    <row r="34" spans="2:26" ht="15" customHeight="1" x14ac:dyDescent="0.25">
      <c r="B34" s="269"/>
      <c r="C34" s="268"/>
      <c r="D34" s="282"/>
      <c r="E34" s="110" t="s">
        <v>11</v>
      </c>
      <c r="F34" s="229"/>
      <c r="G34" s="36"/>
      <c r="H34" s="28"/>
      <c r="I34" s="40"/>
      <c r="J34" s="28"/>
      <c r="K34" s="40"/>
      <c r="L34" s="28"/>
      <c r="M34" s="40"/>
      <c r="N34" s="28"/>
      <c r="O34" s="40"/>
      <c r="P34" s="28"/>
      <c r="Q34" s="40"/>
      <c r="R34" s="32"/>
      <c r="S34" s="232"/>
      <c r="T34" s="4">
        <f t="shared" si="0"/>
        <v>0</v>
      </c>
      <c r="Y34" s="3"/>
      <c r="Z34" s="3"/>
    </row>
    <row r="35" spans="2:26" ht="15" customHeight="1" x14ac:dyDescent="0.25">
      <c r="B35" s="284">
        <v>6000000</v>
      </c>
      <c r="C35" s="285"/>
      <c r="D35" s="282"/>
      <c r="E35" s="110" t="s">
        <v>12</v>
      </c>
      <c r="F35" s="229"/>
      <c r="G35" s="36"/>
      <c r="H35" s="28"/>
      <c r="I35" s="40"/>
      <c r="J35" s="28"/>
      <c r="K35" s="40"/>
      <c r="L35" s="28"/>
      <c r="M35" s="40"/>
      <c r="N35" s="28"/>
      <c r="O35" s="40"/>
      <c r="P35" s="28"/>
      <c r="Q35" s="40"/>
      <c r="R35" s="32"/>
      <c r="S35" s="232"/>
      <c r="T35" s="4">
        <f t="shared" si="0"/>
        <v>0</v>
      </c>
      <c r="Y35" s="3"/>
      <c r="Z35" s="3"/>
    </row>
    <row r="36" spans="2:26" ht="15" customHeight="1" x14ac:dyDescent="0.25">
      <c r="B36" s="284"/>
      <c r="C36" s="285"/>
      <c r="D36" s="282"/>
      <c r="E36" s="110" t="s">
        <v>14</v>
      </c>
      <c r="F36" s="229"/>
      <c r="G36" s="36"/>
      <c r="H36" s="28"/>
      <c r="I36" s="40"/>
      <c r="J36" s="28"/>
      <c r="K36" s="40"/>
      <c r="L36" s="28"/>
      <c r="M36" s="40"/>
      <c r="N36" s="28"/>
      <c r="O36" s="40"/>
      <c r="P36" s="28"/>
      <c r="Q36" s="40"/>
      <c r="R36" s="32"/>
      <c r="S36" s="232"/>
      <c r="T36" s="4">
        <f t="shared" si="0"/>
        <v>0</v>
      </c>
      <c r="Y36" s="3"/>
      <c r="Z36" s="3"/>
    </row>
    <row r="37" spans="2:26" ht="15" customHeight="1" thickBot="1" x14ac:dyDescent="0.3">
      <c r="B37" s="286"/>
      <c r="C37" s="287"/>
      <c r="D37" s="283"/>
      <c r="E37" s="112" t="s">
        <v>80</v>
      </c>
      <c r="F37" s="229"/>
      <c r="G37" s="38"/>
      <c r="H37" s="30"/>
      <c r="I37" s="43"/>
      <c r="J37" s="30"/>
      <c r="K37" s="43"/>
      <c r="L37" s="30"/>
      <c r="M37" s="43"/>
      <c r="N37" s="30"/>
      <c r="O37" s="43"/>
      <c r="P37" s="30"/>
      <c r="Q37" s="43"/>
      <c r="R37" s="35"/>
      <c r="S37" s="232"/>
      <c r="T37" s="4">
        <f t="shared" si="0"/>
        <v>0</v>
      </c>
      <c r="Y37" s="3"/>
      <c r="Z37" s="3"/>
    </row>
    <row r="38" spans="2:26" x14ac:dyDescent="0.25">
      <c r="E38" s="5"/>
      <c r="F38" s="228"/>
      <c r="G38" s="58">
        <f t="shared" ref="G38:K38" si="1">COUNTA(G26:G31)</f>
        <v>0</v>
      </c>
      <c r="H38" s="58">
        <f t="shared" si="1"/>
        <v>3</v>
      </c>
      <c r="I38" s="58">
        <f t="shared" si="1"/>
        <v>0</v>
      </c>
      <c r="J38" s="58">
        <f t="shared" si="1"/>
        <v>4</v>
      </c>
      <c r="K38" s="58">
        <f t="shared" si="1"/>
        <v>4</v>
      </c>
      <c r="L38" s="58">
        <f>COUNTA(L26:L31)</f>
        <v>3</v>
      </c>
      <c r="M38" s="58">
        <f t="shared" ref="M38:R38" si="2">COUNTA(M26:M31)</f>
        <v>3</v>
      </c>
      <c r="N38" s="58">
        <f t="shared" si="2"/>
        <v>0</v>
      </c>
      <c r="O38" s="58">
        <f t="shared" si="2"/>
        <v>4</v>
      </c>
      <c r="P38" s="58">
        <f t="shared" si="2"/>
        <v>4</v>
      </c>
      <c r="Q38" s="58">
        <f t="shared" si="2"/>
        <v>2</v>
      </c>
      <c r="R38" s="58">
        <f t="shared" si="2"/>
        <v>0</v>
      </c>
      <c r="S38" s="231"/>
      <c r="T38" s="4">
        <f>COUNTA(R26:R31)</f>
        <v>0</v>
      </c>
      <c r="U38" s="4"/>
      <c r="Y38" s="3"/>
      <c r="Z38" s="3"/>
    </row>
    <row r="39" spans="2:26" x14ac:dyDescent="0.25">
      <c r="E39" s="5"/>
      <c r="F39" s="228"/>
      <c r="G39" s="55">
        <f t="shared" ref="G39:R39" si="3">COUNTA(G32:G37)</f>
        <v>0</v>
      </c>
      <c r="H39" s="55">
        <f t="shared" si="3"/>
        <v>0</v>
      </c>
      <c r="I39" s="55">
        <f t="shared" si="3"/>
        <v>0</v>
      </c>
      <c r="J39" s="55">
        <f t="shared" si="3"/>
        <v>0</v>
      </c>
      <c r="K39" s="55">
        <f t="shared" si="3"/>
        <v>0</v>
      </c>
      <c r="L39" s="55">
        <f t="shared" si="3"/>
        <v>0</v>
      </c>
      <c r="M39" s="55">
        <f t="shared" si="3"/>
        <v>0</v>
      </c>
      <c r="N39" s="55">
        <f t="shared" si="3"/>
        <v>0</v>
      </c>
      <c r="O39" s="55">
        <f t="shared" si="3"/>
        <v>0</v>
      </c>
      <c r="P39" s="55">
        <f t="shared" si="3"/>
        <v>0</v>
      </c>
      <c r="Q39" s="55">
        <f t="shared" si="3"/>
        <v>0</v>
      </c>
      <c r="R39" s="55">
        <f t="shared" si="3"/>
        <v>0</v>
      </c>
      <c r="S39" s="231"/>
      <c r="T39" s="4">
        <f>COUNTA(R32:R37)</f>
        <v>0</v>
      </c>
      <c r="U39" s="4"/>
      <c r="V39" s="3"/>
      <c r="W39" s="3"/>
      <c r="X39" s="3"/>
      <c r="Y39" s="3"/>
      <c r="Z39" s="3"/>
    </row>
    <row r="40" spans="2:26" x14ac:dyDescent="0.25">
      <c r="E40" s="14" t="s">
        <v>22</v>
      </c>
      <c r="F40" s="228"/>
      <c r="G40" s="74" t="str">
        <f>IF(OR(AND(G38&gt;0,G39&gt;0),AND(G38&gt;0,OR(E13="",E13&lt;$B$29))),"X","")</f>
        <v/>
      </c>
      <c r="H40" s="56" t="str">
        <f>IF(OR(AND(H38&gt;0,H39&gt;0),AND(H38&gt;0,E13&lt;$B$29)),"X","")</f>
        <v/>
      </c>
      <c r="I40" s="56" t="str">
        <f>IF(OR(AND(I38&gt;0,I39&gt;0),AND(I38&gt;0,E14&lt;$B$29)),"X","")</f>
        <v/>
      </c>
      <c r="J40" s="56" t="str">
        <f>IF(OR(AND(J38&gt;0,J39&gt;0),AND(J38&gt;0,E14&lt;$B$29)),"X","")</f>
        <v/>
      </c>
      <c r="K40" s="56" t="str">
        <f>IF(OR(AND(K38&gt;0,K39&gt;0),AND(K38&gt;0,E15&lt;$B$29)),"X","")</f>
        <v/>
      </c>
      <c r="L40" s="56" t="str">
        <f>IF(OR(AND(L38&gt;0,L39&gt;0),AND(L38&gt;0,E15&lt;$B$29)),"X","")</f>
        <v/>
      </c>
      <c r="M40" s="56" t="str">
        <f>IF(OR(AND(M38&gt;0,M39&gt;0),AND(M38&gt;0,E16&lt;$B$29)),"X","")</f>
        <v/>
      </c>
      <c r="N40" s="56" t="str">
        <f>IF(OR(AND(N38&gt;0,N39&gt;0),AND(N38&gt;0,E16&lt;$B$29)),"X","")</f>
        <v/>
      </c>
      <c r="O40" s="56" t="str">
        <f>IF(OR(AND(O38&gt;0,O39&gt;0),AND(O38&gt;0,E17&lt;$B$29)),"X","")</f>
        <v/>
      </c>
      <c r="P40" s="56" t="str">
        <f>IF(OR(AND(P38&gt;0,P39&gt;0),AND(P38&gt;0,E17&lt;$B$29)),"X","")</f>
        <v/>
      </c>
      <c r="Q40" s="56" t="str">
        <f>IF(OR(AND(Q38&gt;0,Q39&gt;0),AND(Q38&gt;0,E18&lt;$B$29)),"X","")</f>
        <v/>
      </c>
      <c r="R40" s="75" t="str">
        <f>IF(OR(AND(R38&gt;0,R39&gt;0),AND(R38&gt;0,E18&lt;$B$29)),"X","")</f>
        <v/>
      </c>
      <c r="S40" s="231"/>
      <c r="T40" s="4">
        <f>COUNTBLANK(G40:R40)</f>
        <v>12</v>
      </c>
      <c r="U40" s="4"/>
      <c r="V40" s="3"/>
      <c r="W40" s="3"/>
      <c r="X40" s="3"/>
      <c r="Y40" s="3"/>
      <c r="Z40" s="3"/>
    </row>
    <row r="41" spans="2:26" x14ac:dyDescent="0.25">
      <c r="E41" s="14" t="s">
        <v>19</v>
      </c>
      <c r="F41" s="290"/>
      <c r="G41" s="15">
        <f t="shared" ref="G41:R41" si="4">IF(G40="X",0,IF(G39=0,IF(G38&gt;0,$D$26,0),IF(G38=0,$D$32,0)))</f>
        <v>0</v>
      </c>
      <c r="H41" s="57">
        <f t="shared" si="4"/>
        <v>6</v>
      </c>
      <c r="I41" s="57">
        <f t="shared" si="4"/>
        <v>0</v>
      </c>
      <c r="J41" s="57">
        <f t="shared" si="4"/>
        <v>6</v>
      </c>
      <c r="K41" s="57">
        <f t="shared" si="4"/>
        <v>6</v>
      </c>
      <c r="L41" s="57">
        <f t="shared" si="4"/>
        <v>6</v>
      </c>
      <c r="M41" s="57">
        <f t="shared" si="4"/>
        <v>6</v>
      </c>
      <c r="N41" s="57">
        <f t="shared" si="4"/>
        <v>0</v>
      </c>
      <c r="O41" s="57">
        <f t="shared" si="4"/>
        <v>6</v>
      </c>
      <c r="P41" s="57">
        <f t="shared" si="4"/>
        <v>6</v>
      </c>
      <c r="Q41" s="57">
        <f t="shared" si="4"/>
        <v>6</v>
      </c>
      <c r="R41" s="14">
        <f t="shared" si="4"/>
        <v>0</v>
      </c>
      <c r="S41" s="281"/>
      <c r="T41" s="4"/>
      <c r="U41" s="4"/>
      <c r="V41" s="3"/>
      <c r="W41" s="3"/>
      <c r="X41" s="3"/>
      <c r="Y41" s="3"/>
      <c r="Z41" s="3"/>
    </row>
    <row r="42" spans="2:26" x14ac:dyDescent="0.25">
      <c r="E42" s="115" t="s">
        <v>23</v>
      </c>
      <c r="F42" s="116">
        <f>IF(G41+I41+K41+M41+O41+Q41&gt;F22,F22,G41+I41+K41+M41+O41+Q41)</f>
        <v>24</v>
      </c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117">
        <f>IF(H41+J41+L41+N41+P41+R41&gt;S22,S22,H41+J41+L41+N41+P41+R41)</f>
        <v>10</v>
      </c>
      <c r="T42" s="4"/>
      <c r="U42" s="4"/>
      <c r="V42" s="3"/>
      <c r="W42" s="3"/>
      <c r="X42" s="3"/>
      <c r="Y42" s="3"/>
      <c r="Z42" s="3"/>
    </row>
    <row r="43" spans="2:26" x14ac:dyDescent="0.25">
      <c r="F43" s="8" t="s">
        <v>39</v>
      </c>
      <c r="G43" s="254">
        <f>IF(AND(T40&lt;12,(F42+S42-C51)&gt;0),0,F42+S42-C51)</f>
        <v>34</v>
      </c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7" t="s">
        <v>42</v>
      </c>
      <c r="T43" s="3"/>
      <c r="U43" s="3"/>
      <c r="V43" s="3"/>
      <c r="W43" s="3"/>
      <c r="X43" s="3"/>
      <c r="Y43" s="3"/>
      <c r="Z43" s="3"/>
    </row>
    <row r="47" spans="2:26" x14ac:dyDescent="0.25">
      <c r="C47" s="266" t="s">
        <v>18</v>
      </c>
      <c r="D47" s="266"/>
      <c r="E47" s="266"/>
      <c r="F47" s="266"/>
      <c r="G47" s="266"/>
      <c r="H47" s="266"/>
      <c r="I47" s="266"/>
      <c r="J47" s="266"/>
      <c r="K47" s="266"/>
      <c r="L47" s="266"/>
    </row>
    <row r="48" spans="2:26" x14ac:dyDescent="0.25">
      <c r="C48" s="59" t="s">
        <v>15</v>
      </c>
      <c r="D48" s="59" t="s">
        <v>13</v>
      </c>
      <c r="E48" s="59" t="s">
        <v>11</v>
      </c>
      <c r="F48" s="60" t="s">
        <v>76</v>
      </c>
      <c r="G48" s="266" t="s">
        <v>14</v>
      </c>
      <c r="H48" s="266"/>
      <c r="I48" s="266"/>
      <c r="J48" s="266"/>
      <c r="K48" s="266"/>
      <c r="L48" s="266"/>
    </row>
    <row r="49" spans="2:12" x14ac:dyDescent="0.25">
      <c r="C49" s="65" t="str">
        <f>IF(OR(T26&gt;0,T32&gt;0),"SIM","NÃO")</f>
        <v>SIM</v>
      </c>
      <c r="D49" s="61" t="str">
        <f>IF(OR(T27&gt;0,T33&gt;0),"SIM","NÃO")</f>
        <v>SIM</v>
      </c>
      <c r="E49" s="61" t="str">
        <f>IF(OR(T28&gt;0,T34&gt;0),"SIM","NÃO")</f>
        <v>SIM</v>
      </c>
      <c r="F49" s="62" t="str">
        <f>IF(OR(T29&gt;0,T35&gt;0),"SIM","NÃO")</f>
        <v>SIM</v>
      </c>
      <c r="G49" s="270" t="str">
        <f>IF(OR(T30&gt;0,T36&gt;0),"SIM","NÃO")</f>
        <v>SIM</v>
      </c>
      <c r="H49" s="270"/>
      <c r="I49" s="270"/>
      <c r="J49" s="270"/>
      <c r="K49" s="270"/>
      <c r="L49" s="270"/>
    </row>
    <row r="50" spans="2:12" x14ac:dyDescent="0.25">
      <c r="B50" s="66" t="s">
        <v>20</v>
      </c>
      <c r="C50" s="63">
        <f>IF(C49="NÃO",4,0)</f>
        <v>0</v>
      </c>
      <c r="D50" s="64">
        <f>IF(D49="NÃO",4,0)</f>
        <v>0</v>
      </c>
      <c r="E50" s="63">
        <f>IF(E49="NÃO",4,0)</f>
        <v>0</v>
      </c>
      <c r="F50" s="63">
        <f>IF(F49="NÃO",4,0)</f>
        <v>0</v>
      </c>
      <c r="G50" s="263">
        <f>IF(G49="NÃO",4,0)</f>
        <v>0</v>
      </c>
      <c r="H50" s="263"/>
      <c r="I50" s="263"/>
      <c r="J50" s="263"/>
      <c r="K50" s="263"/>
      <c r="L50" s="263"/>
    </row>
    <row r="51" spans="2:12" x14ac:dyDescent="0.25">
      <c r="B51" s="67" t="s">
        <v>21</v>
      </c>
      <c r="C51" s="59">
        <f>SUM(C50:L50)</f>
        <v>0</v>
      </c>
    </row>
  </sheetData>
  <sheetProtection password="C74A" sheet="1" objects="1" scenarios="1"/>
  <protectedRanges>
    <protectedRange sqref="G26:R37" name="Intervalo1"/>
    <protectedRange sqref="C13:E18" name="Intervalo2"/>
  </protectedRanges>
  <mergeCells count="37">
    <mergeCell ref="B2:E2"/>
    <mergeCell ref="B5:E5"/>
    <mergeCell ref="B6:E6"/>
    <mergeCell ref="B7:E7"/>
    <mergeCell ref="B9:S9"/>
    <mergeCell ref="B3:E3"/>
    <mergeCell ref="S23:S41"/>
    <mergeCell ref="D26:D31"/>
    <mergeCell ref="D32:D37"/>
    <mergeCell ref="G43:R43"/>
    <mergeCell ref="B29:C31"/>
    <mergeCell ref="B35:C37"/>
    <mergeCell ref="B32:C34"/>
    <mergeCell ref="G21:R23"/>
    <mergeCell ref="D23:D25"/>
    <mergeCell ref="F23:F41"/>
    <mergeCell ref="M24:N25"/>
    <mergeCell ref="O24:P25"/>
    <mergeCell ref="Q24:R25"/>
    <mergeCell ref="D22:E22"/>
    <mergeCell ref="E23:E25"/>
    <mergeCell ref="G50:L50"/>
    <mergeCell ref="B4:E4"/>
    <mergeCell ref="B21:C25"/>
    <mergeCell ref="C47:L47"/>
    <mergeCell ref="B26:C28"/>
    <mergeCell ref="G48:L48"/>
    <mergeCell ref="G49:L49"/>
    <mergeCell ref="G42:R42"/>
    <mergeCell ref="G24:H25"/>
    <mergeCell ref="I24:J25"/>
    <mergeCell ref="K24:L25"/>
    <mergeCell ref="B10:S10"/>
    <mergeCell ref="Q20:R20"/>
    <mergeCell ref="L20:P20"/>
    <mergeCell ref="B20:K20"/>
    <mergeCell ref="D21:E21"/>
  </mergeCells>
  <conditionalFormatting sqref="I24">
    <cfRule type="expression" dxfId="78" priority="9">
      <formula>OR($I$40="X",$J$40="X")</formula>
    </cfRule>
  </conditionalFormatting>
  <conditionalFormatting sqref="C49:G49">
    <cfRule type="cellIs" dxfId="77" priority="6" operator="equal">
      <formula>"SIM"</formula>
    </cfRule>
  </conditionalFormatting>
  <conditionalFormatting sqref="G41:R41">
    <cfRule type="expression" dxfId="76" priority="5">
      <formula>AND(G$38&gt;0,G$39&gt;0)</formula>
    </cfRule>
  </conditionalFormatting>
  <conditionalFormatting sqref="G40:R40">
    <cfRule type="cellIs" dxfId="75" priority="2" operator="equal">
      <formula>"X"</formula>
    </cfRule>
  </conditionalFormatting>
  <conditionalFormatting sqref="S42">
    <cfRule type="expression" dxfId="74" priority="15">
      <formula>AND(#REF!&gt;0,#REF!&gt;0)</formula>
    </cfRule>
  </conditionalFormatting>
  <conditionalFormatting sqref="G24">
    <cfRule type="expression" dxfId="73" priority="18">
      <formula>OR($G$40="X",$H$40="X")</formula>
    </cfRule>
  </conditionalFormatting>
  <conditionalFormatting sqref="K24">
    <cfRule type="expression" dxfId="72" priority="22">
      <formula>OR($K$40="X",$L$40="X")</formula>
    </cfRule>
  </conditionalFormatting>
  <conditionalFormatting sqref="M24">
    <cfRule type="expression" dxfId="71" priority="26">
      <formula>OR($M$40="X",$N$40="X")</formula>
    </cfRule>
  </conditionalFormatting>
  <conditionalFormatting sqref="O24">
    <cfRule type="expression" dxfId="70" priority="30">
      <formula>OR($O$40="X",$P$40="X")</formula>
    </cfRule>
  </conditionalFormatting>
  <conditionalFormatting sqref="Q24">
    <cfRule type="expression" dxfId="69" priority="34">
      <formula>OR($Q$40="X",$R$40="X")</formula>
    </cfRule>
  </conditionalFormatting>
  <conditionalFormatting sqref="F42">
    <cfRule type="expression" dxfId="68" priority="35">
      <formula>AND(#REF!&gt;0,#REF!&gt;0)</formula>
    </cfRule>
  </conditionalFormatting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47"/>
  <sheetViews>
    <sheetView topLeftCell="A72" workbookViewId="0">
      <selection activeCell="G92" sqref="G92"/>
    </sheetView>
  </sheetViews>
  <sheetFormatPr defaultRowHeight="15" x14ac:dyDescent="0.25"/>
  <cols>
    <col min="1" max="1" width="9.140625" style="149"/>
    <col min="2" max="2" width="20.42578125" style="149" customWidth="1"/>
    <col min="3" max="3" width="14.7109375" style="151" customWidth="1"/>
    <col min="4" max="4" width="20.42578125" style="151" customWidth="1"/>
    <col min="5" max="5" width="23.140625" style="151" customWidth="1"/>
    <col min="6" max="6" width="25.85546875" style="151" customWidth="1"/>
    <col min="7" max="7" width="5.28515625" style="151" customWidth="1"/>
    <col min="8" max="8" width="4.5703125" style="151" customWidth="1"/>
    <col min="9" max="9" width="10.5703125" style="151" bestFit="1" customWidth="1"/>
    <col min="10" max="10" width="2" style="149" customWidth="1"/>
    <col min="11" max="11" width="20.7109375" style="149" customWidth="1"/>
    <col min="12" max="12" width="18.42578125" style="149" customWidth="1"/>
    <col min="13" max="13" width="12.5703125" style="149" customWidth="1"/>
    <col min="14" max="14" width="18.28515625" style="149" customWidth="1"/>
    <col min="15" max="15" width="2.42578125" style="149" customWidth="1"/>
    <col min="16" max="16" width="10.5703125" style="149" customWidth="1"/>
    <col min="17" max="17" width="0.7109375" style="149" customWidth="1"/>
    <col min="18" max="18" width="3.28515625" style="149" customWidth="1"/>
    <col min="19" max="19" width="3" style="149" customWidth="1"/>
    <col min="20" max="16384" width="9.140625" style="149"/>
  </cols>
  <sheetData>
    <row r="2" spans="1:19" ht="15.75" x14ac:dyDescent="0.25">
      <c r="A2" s="151"/>
      <c r="B2" s="220" t="s">
        <v>84</v>
      </c>
      <c r="C2" s="220"/>
      <c r="D2" s="220"/>
      <c r="J2" s="7"/>
      <c r="K2" s="7"/>
      <c r="L2" s="7"/>
      <c r="M2" s="7"/>
      <c r="N2" s="7"/>
      <c r="O2" s="7"/>
      <c r="P2" s="7"/>
      <c r="Q2" s="7"/>
    </row>
    <row r="3" spans="1:19" ht="15.75" x14ac:dyDescent="0.25">
      <c r="A3" s="151"/>
      <c r="B3" s="302" t="s">
        <v>86</v>
      </c>
      <c r="C3" s="303"/>
      <c r="D3" s="304"/>
      <c r="M3" s="7"/>
      <c r="N3" s="7"/>
      <c r="O3" s="7"/>
      <c r="P3" s="7"/>
      <c r="Q3" s="7"/>
    </row>
    <row r="4" spans="1:19" ht="15.75" customHeight="1" x14ac:dyDescent="0.25">
      <c r="A4" s="151"/>
      <c r="B4" s="302" t="s">
        <v>85</v>
      </c>
      <c r="C4" s="303"/>
      <c r="D4" s="304"/>
      <c r="E4" s="142"/>
      <c r="F4" s="142"/>
      <c r="G4" s="142"/>
      <c r="H4" s="142"/>
      <c r="I4" s="142"/>
      <c r="M4" s="7"/>
      <c r="N4" s="7"/>
      <c r="O4" s="7"/>
      <c r="P4" s="7"/>
      <c r="Q4" s="7"/>
    </row>
    <row r="5" spans="1:19" ht="45" customHeight="1" x14ac:dyDescent="0.25">
      <c r="A5" s="151"/>
      <c r="B5" s="308" t="s">
        <v>91</v>
      </c>
      <c r="C5" s="309"/>
      <c r="D5" s="310"/>
      <c r="E5" s="142"/>
      <c r="F5" s="142"/>
      <c r="G5" s="142"/>
      <c r="H5" s="142"/>
      <c r="I5" s="142"/>
      <c r="M5" s="7"/>
      <c r="N5" s="7"/>
      <c r="O5" s="7"/>
      <c r="P5" s="7"/>
      <c r="Q5" s="7"/>
    </row>
    <row r="6" spans="1:19" ht="42" customHeight="1" x14ac:dyDescent="0.25">
      <c r="A6" s="151"/>
      <c r="B6" s="305" t="s">
        <v>40</v>
      </c>
      <c r="C6" s="306"/>
      <c r="D6" s="307"/>
      <c r="E6" s="142"/>
      <c r="F6" s="142"/>
      <c r="G6" s="142"/>
      <c r="H6" s="142"/>
      <c r="I6" s="142"/>
      <c r="J6" s="7"/>
      <c r="K6" s="7"/>
      <c r="L6" s="7"/>
      <c r="M6" s="7"/>
      <c r="N6" s="7"/>
      <c r="O6" s="7"/>
      <c r="P6" s="7"/>
      <c r="Q6" s="7"/>
    </row>
    <row r="7" spans="1:19" x14ac:dyDescent="0.25">
      <c r="A7" s="151"/>
      <c r="J7" s="151"/>
      <c r="K7" s="151"/>
    </row>
    <row r="8" spans="1:19" ht="15.75" x14ac:dyDescent="0.25">
      <c r="B8" s="250" t="s">
        <v>53</v>
      </c>
      <c r="C8" s="250"/>
      <c r="D8" s="250"/>
      <c r="E8" s="250"/>
      <c r="F8" s="250"/>
      <c r="G8" s="250"/>
      <c r="H8" s="250"/>
      <c r="I8" s="250"/>
    </row>
    <row r="9" spans="1:19" ht="15.75" x14ac:dyDescent="0.25">
      <c r="B9" s="250" t="str">
        <f>'[1]PT1 A'!B10</f>
        <v>XXXXX XXXXXX XXXXXX</v>
      </c>
      <c r="C9" s="250"/>
      <c r="D9" s="250"/>
      <c r="E9" s="250"/>
      <c r="F9" s="250"/>
      <c r="G9" s="250"/>
      <c r="H9" s="250"/>
      <c r="I9" s="250"/>
    </row>
    <row r="10" spans="1:19" x14ac:dyDescent="0.25">
      <c r="A10" s="151"/>
      <c r="J10" s="151"/>
      <c r="K10" s="151"/>
    </row>
    <row r="11" spans="1:19" x14ac:dyDescent="0.25">
      <c r="A11" s="151"/>
      <c r="B11" s="317" t="s">
        <v>99</v>
      </c>
      <c r="C11" s="318"/>
      <c r="D11" s="318"/>
      <c r="E11" s="319"/>
      <c r="F11" s="320" t="s">
        <v>57</v>
      </c>
      <c r="G11" s="320"/>
      <c r="H11" s="180">
        <f>D17+E17+D20</f>
        <v>24</v>
      </c>
      <c r="I11" s="180" t="s">
        <v>42</v>
      </c>
      <c r="J11" s="151"/>
      <c r="K11" s="151"/>
    </row>
    <row r="12" spans="1:19" ht="30" customHeight="1" x14ac:dyDescent="0.25">
      <c r="A12" s="151"/>
      <c r="B12" s="321" t="s">
        <v>100</v>
      </c>
      <c r="C12" s="322"/>
      <c r="D12" s="325" t="s">
        <v>0</v>
      </c>
      <c r="E12" s="325"/>
      <c r="F12" s="180" t="s">
        <v>27</v>
      </c>
      <c r="G12" s="326" t="s">
        <v>3</v>
      </c>
      <c r="H12" s="326"/>
      <c r="I12" s="181" t="s">
        <v>7</v>
      </c>
      <c r="J12" s="152"/>
      <c r="K12" s="150"/>
    </row>
    <row r="13" spans="1:19" ht="15.75" customHeight="1" thickBot="1" x14ac:dyDescent="0.3">
      <c r="A13" s="151"/>
      <c r="B13" s="323"/>
      <c r="C13" s="324"/>
      <c r="D13" s="191" t="s">
        <v>90</v>
      </c>
      <c r="E13" s="191" t="s">
        <v>25</v>
      </c>
      <c r="F13" s="181" t="s">
        <v>24</v>
      </c>
      <c r="G13" s="185">
        <v>1</v>
      </c>
      <c r="H13" s="185">
        <v>2</v>
      </c>
      <c r="I13" s="182">
        <f>IF(SUM(O16:O17)&gt;D17,D17,SUM(O16:O17))</f>
        <v>8</v>
      </c>
      <c r="J13" s="152"/>
      <c r="K13" s="362" t="s">
        <v>87</v>
      </c>
      <c r="L13" s="363"/>
      <c r="M13" s="363"/>
      <c r="N13" s="364"/>
    </row>
    <row r="14" spans="1:19" ht="15.75" customHeight="1" thickBot="1" x14ac:dyDescent="0.3">
      <c r="A14" s="151"/>
      <c r="B14" s="189" t="s">
        <v>101</v>
      </c>
      <c r="C14" s="188">
        <v>3000000</v>
      </c>
      <c r="D14" s="190">
        <v>1</v>
      </c>
      <c r="E14" s="190">
        <v>1</v>
      </c>
      <c r="F14" s="183"/>
      <c r="G14" s="164" t="s">
        <v>17</v>
      </c>
      <c r="H14" s="165" t="s">
        <v>17</v>
      </c>
      <c r="I14" s="186"/>
      <c r="J14" s="153"/>
      <c r="K14" s="169" t="s">
        <v>3</v>
      </c>
      <c r="L14" s="166" t="s">
        <v>88</v>
      </c>
      <c r="M14" s="166" t="s">
        <v>83</v>
      </c>
      <c r="N14" s="170" t="s">
        <v>74</v>
      </c>
      <c r="P14" s="149" t="s">
        <v>96</v>
      </c>
    </row>
    <row r="15" spans="1:19" ht="15.75" thickBot="1" x14ac:dyDescent="0.3">
      <c r="A15" s="151"/>
      <c r="B15" s="189" t="str">
        <f>"Entre " &amp;C14 &amp; " e"</f>
        <v>Entre 3000000 e</v>
      </c>
      <c r="C15" s="188">
        <v>6000000</v>
      </c>
      <c r="D15" s="190">
        <v>2</v>
      </c>
      <c r="E15" s="190">
        <v>3</v>
      </c>
      <c r="F15" s="181" t="s">
        <v>25</v>
      </c>
      <c r="G15" s="187">
        <v>1</v>
      </c>
      <c r="H15" s="187">
        <v>2</v>
      </c>
      <c r="I15" s="182">
        <f>IF(SUM(O19:O20)&gt;E17,E17,SUM(O19:O20))</f>
        <v>12</v>
      </c>
      <c r="J15" s="154"/>
      <c r="K15" s="365" t="s">
        <v>90</v>
      </c>
      <c r="L15" s="366"/>
      <c r="M15" s="366"/>
      <c r="N15" s="367"/>
      <c r="R15" s="157"/>
      <c r="S15" s="157"/>
    </row>
    <row r="16" spans="1:19" x14ac:dyDescent="0.25">
      <c r="A16" s="151"/>
      <c r="B16" s="189" t="s">
        <v>102</v>
      </c>
      <c r="C16" s="188">
        <f>C15</f>
        <v>6000000</v>
      </c>
      <c r="D16" s="190">
        <v>4</v>
      </c>
      <c r="E16" s="190">
        <v>6</v>
      </c>
      <c r="F16" s="183" t="s">
        <v>15</v>
      </c>
      <c r="G16" s="174"/>
      <c r="H16" s="175" t="s">
        <v>17</v>
      </c>
      <c r="I16" s="184"/>
      <c r="J16" s="153"/>
      <c r="K16" s="171" t="s">
        <v>68</v>
      </c>
      <c r="L16" s="204"/>
      <c r="M16" s="197"/>
      <c r="N16" s="198">
        <v>9474000</v>
      </c>
      <c r="O16" s="149">
        <f>IF(R16&gt;1,IF(N16&gt;C16,D16,IF(N16&gt;C14,D15,IF(N16&gt;0,D14,0))),0)</f>
        <v>4</v>
      </c>
      <c r="P16" s="149" t="str">
        <f>IF(Q16,"Sim","")</f>
        <v/>
      </c>
      <c r="Q16" s="151" t="b">
        <f>OR(AND(N16="",G14&lt;&gt;""),AND(N16&lt;&gt;"",N16&lt;$B$43),AND(NOT(ISNUMBER(N16)),N16&lt;&gt;""))</f>
        <v>0</v>
      </c>
      <c r="R16" s="157">
        <f>IF(AND(G14&lt;&gt;"",NOT(Q16)),D17,0)</f>
        <v>8</v>
      </c>
      <c r="S16" s="157">
        <f>R16+R17</f>
        <v>16</v>
      </c>
    </row>
    <row r="17" spans="1:19" ht="15.75" thickBot="1" x14ac:dyDescent="0.3">
      <c r="A17" s="151"/>
      <c r="B17" s="341" t="s">
        <v>5</v>
      </c>
      <c r="C17" s="342"/>
      <c r="D17" s="190">
        <v>8</v>
      </c>
      <c r="E17" s="190">
        <v>12</v>
      </c>
      <c r="F17" s="183" t="s">
        <v>13</v>
      </c>
      <c r="G17" s="176"/>
      <c r="H17" s="177"/>
      <c r="I17" s="184"/>
      <c r="J17" s="153"/>
      <c r="K17" s="171" t="s">
        <v>69</v>
      </c>
      <c r="L17" s="161"/>
      <c r="M17" s="162"/>
      <c r="N17" s="208">
        <v>22873052.890000001</v>
      </c>
      <c r="O17" s="149">
        <f>IF(R17&gt;1,IF(N17&gt;C16,D16,IF(N17&gt;C14,D15,IF(N17&gt;0,D14,0))),0)</f>
        <v>4</v>
      </c>
      <c r="P17" s="149" t="str">
        <f t="shared" ref="P17:P20" si="0">IF(Q17,"Sim","")</f>
        <v/>
      </c>
      <c r="Q17" s="151" t="b">
        <f>OR(AND(N17="",H14&lt;&gt;""),AND(N17&lt;&gt;"",N17&lt;$B$43),AND(NOT(ISNUMBER(N17)),N17&lt;&gt;""))</f>
        <v>0</v>
      </c>
      <c r="R17" s="157">
        <f>IF(AND(H14&lt;&gt;"",NOT(Q17)),D17,0)</f>
        <v>8</v>
      </c>
      <c r="S17" s="157">
        <f>IF(S16&gt;D16,D16,S16)</f>
        <v>4</v>
      </c>
    </row>
    <row r="18" spans="1:19" ht="15.75" thickBot="1" x14ac:dyDescent="0.3">
      <c r="A18" s="151"/>
      <c r="B18" s="151"/>
      <c r="F18" s="183" t="s">
        <v>12</v>
      </c>
      <c r="G18" s="176" t="s">
        <v>17</v>
      </c>
      <c r="H18" s="177"/>
      <c r="I18" s="184"/>
      <c r="J18" s="153"/>
      <c r="K18" s="379" t="s">
        <v>89</v>
      </c>
      <c r="L18" s="380"/>
      <c r="M18" s="380"/>
      <c r="N18" s="381"/>
      <c r="P18" s="149" t="str">
        <f t="shared" si="0"/>
        <v/>
      </c>
      <c r="Q18" s="151"/>
      <c r="R18" s="157"/>
      <c r="S18" s="157"/>
    </row>
    <row r="19" spans="1:19" ht="16.5" customHeight="1" thickBot="1" x14ac:dyDescent="0.3">
      <c r="A19" s="151"/>
      <c r="B19" s="317" t="s">
        <v>93</v>
      </c>
      <c r="C19" s="319"/>
      <c r="D19" s="191" t="s">
        <v>94</v>
      </c>
      <c r="F19" s="183" t="s">
        <v>14</v>
      </c>
      <c r="G19" s="178" t="s">
        <v>17</v>
      </c>
      <c r="H19" s="179"/>
      <c r="I19" s="184"/>
      <c r="J19" s="153"/>
      <c r="K19" s="171" t="s">
        <v>68</v>
      </c>
      <c r="L19" s="205"/>
      <c r="M19" s="199"/>
      <c r="N19" s="198">
        <v>9474000</v>
      </c>
      <c r="O19" s="149">
        <f>IF(R19&gt;1,IF(N19&gt;C16,E16,IF(N19&gt;C14,E15,IF(N19&gt;0,E14,0))),0)</f>
        <v>6</v>
      </c>
      <c r="P19" s="149" t="str">
        <f t="shared" si="0"/>
        <v/>
      </c>
      <c r="Q19" s="151" t="b">
        <f>OR(AND(N19="",COUNTBLANK(G16:G20)&lt;5),AND(N19&lt;&gt;"",N19&lt;$B$43),AND(NOT(ISNUMBER(N19)),N19&lt;&gt;""))</f>
        <v>0</v>
      </c>
      <c r="R19" s="157">
        <f>IF(AND(COUNTBLANK(G16:G19)&lt;4,NOT(Q19)),E17,0)</f>
        <v>12</v>
      </c>
      <c r="S19" s="157">
        <f>R19+R20</f>
        <v>24</v>
      </c>
    </row>
    <row r="20" spans="1:19" ht="15.75" thickBot="1" x14ac:dyDescent="0.3">
      <c r="A20" s="151"/>
      <c r="B20" s="332" t="s">
        <v>58</v>
      </c>
      <c r="C20" s="333"/>
      <c r="D20" s="156">
        <v>4</v>
      </c>
      <c r="F20" s="149"/>
      <c r="G20" s="149"/>
      <c r="H20" s="149"/>
      <c r="I20" s="149"/>
      <c r="J20" s="153"/>
      <c r="K20" s="172" t="s">
        <v>69</v>
      </c>
      <c r="L20" s="161"/>
      <c r="M20" s="162"/>
      <c r="N20" s="208">
        <f>N17</f>
        <v>22873052.890000001</v>
      </c>
      <c r="O20" s="149">
        <f>IF(R20&gt;1,IF(N20&gt;C16,E16,IF(N20&gt;C14,E15,IF(N20&gt;0,E14,0))),0)</f>
        <v>6</v>
      </c>
      <c r="P20" s="149" t="str">
        <f t="shared" si="0"/>
        <v/>
      </c>
      <c r="Q20" s="151" t="b">
        <f>OR(AND(N20="",COUNTBLANK(H16:H20)&lt;5),AND(N20&lt;&gt;"",N20&lt;$B$43),AND(NOT(ISNUMBER(N20)),N20&lt;&gt;""))</f>
        <v>0</v>
      </c>
      <c r="R20" s="157">
        <f>IF(AND(COUNTBLANK(H16:H19)&lt;4,NOT(Q20)),E17,0)</f>
        <v>12</v>
      </c>
      <c r="S20" s="157">
        <f>IF(S19&gt;D18,D18,S19)</f>
        <v>0</v>
      </c>
    </row>
    <row r="21" spans="1:19" ht="18" customHeight="1" x14ac:dyDescent="0.25">
      <c r="A21" s="151"/>
      <c r="B21" s="330" t="s">
        <v>59</v>
      </c>
      <c r="C21" s="331"/>
      <c r="D21" s="156">
        <v>3</v>
      </c>
      <c r="F21" s="149"/>
      <c r="G21" s="153">
        <f>COUNTA(G16:G19)</f>
        <v>2</v>
      </c>
      <c r="H21" s="153">
        <f>COUNTA(H16:H19)</f>
        <v>1</v>
      </c>
      <c r="I21" s="149"/>
      <c r="J21" s="153"/>
    </row>
    <row r="22" spans="1:19" ht="15.75" customHeight="1" thickBot="1" x14ac:dyDescent="0.3">
      <c r="A22" s="151"/>
      <c r="B22" s="330" t="s">
        <v>95</v>
      </c>
      <c r="C22" s="331"/>
      <c r="D22" s="156">
        <v>1</v>
      </c>
      <c r="F22" s="192" t="s">
        <v>26</v>
      </c>
      <c r="G22" s="311" t="s">
        <v>62</v>
      </c>
      <c r="H22" s="312"/>
      <c r="I22" s="193">
        <f>IF(J23&gt;0,D20,IF(J24&gt;0,D21,IF(J25&gt;0,D22,0)))</f>
        <v>0</v>
      </c>
      <c r="J22" s="153"/>
    </row>
    <row r="23" spans="1:19" x14ac:dyDescent="0.25">
      <c r="A23" s="151"/>
      <c r="F23" s="167" t="s">
        <v>58</v>
      </c>
      <c r="G23" s="313"/>
      <c r="H23" s="314"/>
      <c r="I23" s="168"/>
      <c r="J23" s="153">
        <f>COUNTA((G23))</f>
        <v>0</v>
      </c>
    </row>
    <row r="24" spans="1:19" x14ac:dyDescent="0.25">
      <c r="A24" s="151"/>
      <c r="F24" s="167" t="s">
        <v>59</v>
      </c>
      <c r="G24" s="315"/>
      <c r="H24" s="316"/>
      <c r="I24" s="168"/>
      <c r="J24" s="153">
        <f>COUNTA((G24))</f>
        <v>0</v>
      </c>
      <c r="K24" s="150"/>
    </row>
    <row r="25" spans="1:19" ht="15.75" thickBot="1" x14ac:dyDescent="0.3">
      <c r="A25" s="151"/>
      <c r="F25" s="173" t="s">
        <v>60</v>
      </c>
      <c r="G25" s="373"/>
      <c r="H25" s="374"/>
      <c r="I25" s="168"/>
      <c r="J25" s="153">
        <f>COUNTA((G25))</f>
        <v>0</v>
      </c>
      <c r="K25" s="150"/>
    </row>
    <row r="26" spans="1:19" x14ac:dyDescent="0.25">
      <c r="A26" s="151"/>
      <c r="F26" s="155" t="s">
        <v>61</v>
      </c>
      <c r="G26" s="375">
        <f>IF(I13+I15+I22&gt;H11,H11,I13+I15+I22)</f>
        <v>20</v>
      </c>
      <c r="H26" s="376"/>
      <c r="I26" s="377"/>
      <c r="J26" s="154"/>
      <c r="K26" s="150"/>
    </row>
    <row r="28" spans="1:19" x14ac:dyDescent="0.25">
      <c r="A28" s="151"/>
      <c r="J28" s="151"/>
      <c r="K28" s="151"/>
    </row>
    <row r="29" spans="1:19" ht="16.5" customHeight="1" x14ac:dyDescent="0.25">
      <c r="A29" s="151"/>
      <c r="F29" s="149"/>
      <c r="G29" s="149"/>
      <c r="H29" s="149"/>
      <c r="I29" s="149"/>
    </row>
    <row r="30" spans="1:19" ht="16.5" customHeight="1" x14ac:dyDescent="0.25">
      <c r="A30" s="151"/>
      <c r="B30" s="317" t="s">
        <v>103</v>
      </c>
      <c r="C30" s="318"/>
      <c r="D30" s="318"/>
      <c r="E30" s="319"/>
      <c r="F30" s="149"/>
      <c r="G30" s="149"/>
      <c r="H30" s="149"/>
      <c r="I30" s="149"/>
    </row>
    <row r="31" spans="1:19" ht="16.5" customHeight="1" x14ac:dyDescent="0.25">
      <c r="A31" s="151"/>
      <c r="B31" s="321" t="s">
        <v>100</v>
      </c>
      <c r="C31" s="322"/>
      <c r="D31" s="325" t="s">
        <v>0</v>
      </c>
      <c r="E31" s="325"/>
      <c r="F31" s="149"/>
      <c r="G31" s="149"/>
      <c r="H31" s="149"/>
      <c r="I31" s="149"/>
    </row>
    <row r="32" spans="1:19" ht="16.5" customHeight="1" x14ac:dyDescent="0.25">
      <c r="A32" s="151"/>
      <c r="B32" s="323"/>
      <c r="C32" s="324"/>
      <c r="D32" s="191" t="s">
        <v>90</v>
      </c>
      <c r="E32" s="191" t="s">
        <v>25</v>
      </c>
      <c r="F32" s="149"/>
      <c r="G32" s="149"/>
      <c r="H32" s="149"/>
      <c r="I32" s="149"/>
    </row>
    <row r="33" spans="1:14" ht="16.5" customHeight="1" x14ac:dyDescent="0.25">
      <c r="A33" s="151"/>
      <c r="B33" s="189" t="s">
        <v>101</v>
      </c>
      <c r="C33" s="188">
        <v>3000000</v>
      </c>
      <c r="D33" s="190">
        <v>1</v>
      </c>
      <c r="E33" s="190">
        <v>1</v>
      </c>
      <c r="F33" s="149"/>
      <c r="G33" s="149"/>
      <c r="H33" s="149"/>
      <c r="I33" s="149"/>
    </row>
    <row r="34" spans="1:14" ht="16.5" customHeight="1" x14ac:dyDescent="0.25">
      <c r="A34" s="151"/>
      <c r="B34" s="189" t="str">
        <f>"Entre " &amp;C33 &amp; " e"</f>
        <v>Entre 3000000 e</v>
      </c>
      <c r="C34" s="188">
        <v>6000000</v>
      </c>
      <c r="D34" s="190">
        <v>2</v>
      </c>
      <c r="E34" s="190">
        <v>3</v>
      </c>
      <c r="F34" s="149"/>
      <c r="G34" s="149"/>
      <c r="H34" s="149"/>
      <c r="I34" s="149"/>
    </row>
    <row r="35" spans="1:14" ht="16.5" customHeight="1" x14ac:dyDescent="0.25">
      <c r="A35" s="151"/>
      <c r="B35" s="189" t="s">
        <v>102</v>
      </c>
      <c r="C35" s="188">
        <f>C34</f>
        <v>6000000</v>
      </c>
      <c r="D35" s="190">
        <v>5</v>
      </c>
      <c r="E35" s="190">
        <v>8</v>
      </c>
      <c r="F35" s="149"/>
      <c r="G35" s="149"/>
      <c r="H35" s="149"/>
      <c r="I35" s="149"/>
    </row>
    <row r="36" spans="1:14" ht="16.5" customHeight="1" x14ac:dyDescent="0.25">
      <c r="A36" s="151"/>
      <c r="B36" s="341" t="s">
        <v>5</v>
      </c>
      <c r="C36" s="342"/>
      <c r="D36" s="194">
        <v>10</v>
      </c>
      <c r="E36" s="190">
        <v>16</v>
      </c>
      <c r="F36" s="149"/>
      <c r="G36" s="149"/>
      <c r="H36" s="149"/>
      <c r="I36" s="149"/>
    </row>
    <row r="37" spans="1:14" ht="16.5" customHeight="1" x14ac:dyDescent="0.25">
      <c r="A37" s="151"/>
      <c r="B37" s="151"/>
      <c r="F37" s="149"/>
      <c r="G37" s="149"/>
      <c r="H37" s="149"/>
      <c r="I37" s="149"/>
    </row>
    <row r="38" spans="1:14" ht="16.5" customHeight="1" x14ac:dyDescent="0.25">
      <c r="A38" s="151"/>
      <c r="B38" s="317" t="s">
        <v>93</v>
      </c>
      <c r="C38" s="319"/>
      <c r="D38" s="191" t="s">
        <v>94</v>
      </c>
      <c r="E38" s="195"/>
      <c r="F38" s="195"/>
      <c r="G38" s="149"/>
      <c r="H38" s="149"/>
      <c r="I38" s="149"/>
    </row>
    <row r="39" spans="1:14" ht="16.5" customHeight="1" x14ac:dyDescent="0.25">
      <c r="A39" s="151"/>
      <c r="B39" s="332" t="s">
        <v>58</v>
      </c>
      <c r="C39" s="333"/>
      <c r="D39" s="156">
        <v>6</v>
      </c>
      <c r="E39" s="196"/>
      <c r="F39" s="195"/>
      <c r="G39" s="149"/>
      <c r="H39" s="149"/>
      <c r="I39" s="149"/>
    </row>
    <row r="40" spans="1:14" ht="16.5" customHeight="1" x14ac:dyDescent="0.25">
      <c r="A40" s="151"/>
      <c r="B40" s="330" t="s">
        <v>59</v>
      </c>
      <c r="C40" s="331"/>
      <c r="D40" s="156">
        <v>4</v>
      </c>
      <c r="E40" s="195"/>
      <c r="F40" s="195"/>
      <c r="G40" s="149"/>
      <c r="H40" s="149"/>
      <c r="I40" s="149"/>
    </row>
    <row r="41" spans="1:14" ht="16.5" customHeight="1" x14ac:dyDescent="0.25">
      <c r="A41" s="151"/>
      <c r="B41" s="330" t="s">
        <v>95</v>
      </c>
      <c r="C41" s="331"/>
      <c r="D41" s="156">
        <v>2</v>
      </c>
      <c r="F41" s="149"/>
      <c r="G41" s="149"/>
      <c r="H41" s="149"/>
      <c r="I41" s="149"/>
    </row>
    <row r="42" spans="1:14" ht="16.5" customHeight="1" x14ac:dyDescent="0.25">
      <c r="A42" s="151"/>
      <c r="F42" s="149"/>
      <c r="G42" s="149"/>
      <c r="H42" s="149"/>
      <c r="I42" s="149"/>
    </row>
    <row r="43" spans="1:14" x14ac:dyDescent="0.25">
      <c r="A43" s="151"/>
      <c r="B43" s="20"/>
      <c r="F43" s="149"/>
      <c r="G43" s="149"/>
      <c r="H43" s="149"/>
      <c r="I43" s="149"/>
    </row>
    <row r="44" spans="1:14" x14ac:dyDescent="0.25">
      <c r="A44" s="151"/>
      <c r="B44" s="151"/>
      <c r="J44" s="154"/>
    </row>
    <row r="45" spans="1:14" x14ac:dyDescent="0.25">
      <c r="A45" s="151"/>
      <c r="B45" s="337" t="s">
        <v>56</v>
      </c>
      <c r="C45" s="338"/>
      <c r="D45" s="338"/>
      <c r="E45" s="338"/>
      <c r="F45" s="329" t="s">
        <v>98</v>
      </c>
      <c r="G45" s="329"/>
      <c r="H45" s="89">
        <f>D36+E36+D39</f>
        <v>32</v>
      </c>
      <c r="I45" s="90" t="s">
        <v>42</v>
      </c>
      <c r="J45" s="154"/>
    </row>
    <row r="46" spans="1:14" ht="15" customHeight="1" x14ac:dyDescent="0.25">
      <c r="A46" s="151"/>
      <c r="B46" s="339" t="s">
        <v>48</v>
      </c>
      <c r="C46" s="288"/>
      <c r="D46" s="288" t="s">
        <v>28</v>
      </c>
      <c r="E46" s="288"/>
      <c r="F46" s="288" t="s">
        <v>38</v>
      </c>
      <c r="G46" s="288" t="s">
        <v>3</v>
      </c>
      <c r="H46" s="288"/>
      <c r="I46" s="378" t="s">
        <v>7</v>
      </c>
      <c r="J46" s="154"/>
    </row>
    <row r="47" spans="1:14" x14ac:dyDescent="0.25">
      <c r="A47" s="151"/>
      <c r="B47" s="340"/>
      <c r="C47" s="334"/>
      <c r="D47" s="334"/>
      <c r="E47" s="334"/>
      <c r="F47" s="334"/>
      <c r="G47" s="334"/>
      <c r="H47" s="334"/>
      <c r="I47" s="293"/>
      <c r="J47" s="154"/>
    </row>
    <row r="48" spans="1:14" ht="15" customHeight="1" thickBot="1" x14ac:dyDescent="0.3">
      <c r="A48" s="151"/>
      <c r="B48" s="353" t="s">
        <v>29</v>
      </c>
      <c r="C48" s="354"/>
      <c r="D48" s="359" t="s">
        <v>30</v>
      </c>
      <c r="E48" s="359"/>
      <c r="F48" s="139" t="s">
        <v>24</v>
      </c>
      <c r="G48" s="139">
        <v>1</v>
      </c>
      <c r="H48" s="140">
        <v>2</v>
      </c>
      <c r="I48" s="182">
        <f>IF(O51+O53&gt;$D$36,$D$36,O51+O53)</f>
        <v>10</v>
      </c>
      <c r="J48" s="152"/>
      <c r="K48" s="362" t="str">
        <f>D48</f>
        <v>Engenheiro de Obras Civis</v>
      </c>
      <c r="L48" s="363"/>
      <c r="M48" s="363"/>
      <c r="N48" s="364"/>
    </row>
    <row r="49" spans="1:19" ht="15.75" customHeight="1" thickBot="1" x14ac:dyDescent="0.3">
      <c r="A49" s="151"/>
      <c r="B49" s="355"/>
      <c r="C49" s="356"/>
      <c r="D49" s="360"/>
      <c r="E49" s="360"/>
      <c r="F49" s="83"/>
      <c r="G49" s="164" t="s">
        <v>17</v>
      </c>
      <c r="H49" s="165" t="s">
        <v>17</v>
      </c>
      <c r="I49" s="144"/>
      <c r="J49" s="153">
        <f>COUNTA(G49:H49)</f>
        <v>2</v>
      </c>
      <c r="K49" s="169" t="s">
        <v>3</v>
      </c>
      <c r="L49" s="166" t="s">
        <v>88</v>
      </c>
      <c r="M49" s="166" t="s">
        <v>83</v>
      </c>
      <c r="N49" s="170" t="s">
        <v>74</v>
      </c>
    </row>
    <row r="50" spans="1:19" ht="15.75" customHeight="1" thickBot="1" x14ac:dyDescent="0.3">
      <c r="A50" s="151"/>
      <c r="B50" s="355"/>
      <c r="C50" s="356"/>
      <c r="D50" s="360"/>
      <c r="E50" s="360"/>
      <c r="F50" s="143" t="s">
        <v>25</v>
      </c>
      <c r="G50" s="143">
        <v>1</v>
      </c>
      <c r="H50" s="143">
        <v>2</v>
      </c>
      <c r="I50" s="182">
        <f>IF(O55+O56&gt;$E$36,$E$36,O55+O56)</f>
        <v>16</v>
      </c>
      <c r="J50" s="154"/>
      <c r="K50" s="365" t="s">
        <v>90</v>
      </c>
      <c r="L50" s="366"/>
      <c r="M50" s="366"/>
      <c r="N50" s="367"/>
      <c r="Q50" s="19"/>
      <c r="R50" s="151"/>
      <c r="S50" s="151"/>
    </row>
    <row r="51" spans="1:19" ht="15.75" customHeight="1" thickBot="1" x14ac:dyDescent="0.3">
      <c r="A51" s="151"/>
      <c r="B51" s="355"/>
      <c r="C51" s="356"/>
      <c r="D51" s="360"/>
      <c r="E51" s="360"/>
      <c r="F51" s="84" t="s">
        <v>30</v>
      </c>
      <c r="G51" s="164" t="s">
        <v>17</v>
      </c>
      <c r="H51" s="165" t="s">
        <v>17</v>
      </c>
      <c r="I51" s="148"/>
      <c r="J51" s="153"/>
      <c r="K51" s="94" t="s">
        <v>68</v>
      </c>
      <c r="L51" s="158"/>
      <c r="M51" s="159"/>
      <c r="N51" s="160">
        <f>N20</f>
        <v>22873052.890000001</v>
      </c>
      <c r="O51" s="149">
        <f>IF(R51&gt;1,IF(N51&gt;$C$35,$D$35,IF(N51&gt;$C$33,$D$34,IF(N51&gt;0,$D$33,0))),0)</f>
        <v>5</v>
      </c>
      <c r="P51" s="149" t="str">
        <f>IF(Q51,"Sim","")</f>
        <v/>
      </c>
      <c r="Q51" s="151" t="b">
        <f>OR(AND(N51="",G49&lt;&gt;""),AND(NOT(ISNUMBER(N51)),N51&lt;&gt;""))</f>
        <v>0</v>
      </c>
      <c r="R51" s="157">
        <f>IF(AND(G49&lt;&gt;"",NOT(Q51)),$D$36,0)</f>
        <v>10</v>
      </c>
      <c r="S51" s="157">
        <f>R51+R53</f>
        <v>20</v>
      </c>
    </row>
    <row r="52" spans="1:19" ht="1.5" customHeight="1" x14ac:dyDescent="0.25">
      <c r="A52" s="151"/>
      <c r="B52" s="355"/>
      <c r="C52" s="356"/>
      <c r="D52" s="360"/>
      <c r="E52" s="360"/>
      <c r="F52" s="73"/>
      <c r="G52" s="87">
        <f>COUNTA(G51:G51)</f>
        <v>1</v>
      </c>
      <c r="H52" s="87">
        <f>COUNTA(H51:H51)</f>
        <v>1</v>
      </c>
      <c r="I52" s="92"/>
      <c r="J52" s="153"/>
      <c r="K52" s="171"/>
      <c r="L52" s="21"/>
      <c r="M52" s="22"/>
      <c r="N52" s="26"/>
      <c r="O52" s="149">
        <f t="shared" ref="O52:O53" si="1">IF(R52&gt;1,IF(N52&gt;$C$35,$D$35,IF(N52&gt;$C$33,$D$34,IF(N52&gt;0,$D$33,0))),0)</f>
        <v>0</v>
      </c>
      <c r="R52" s="157"/>
      <c r="S52" s="157"/>
    </row>
    <row r="53" spans="1:19" ht="15.75" customHeight="1" thickBot="1" x14ac:dyDescent="0.3">
      <c r="A53" s="151"/>
      <c r="B53" s="355"/>
      <c r="C53" s="356"/>
      <c r="D53" s="360"/>
      <c r="E53" s="360"/>
      <c r="F53" s="143" t="s">
        <v>26</v>
      </c>
      <c r="G53" s="335" t="s">
        <v>62</v>
      </c>
      <c r="H53" s="336"/>
      <c r="I53" s="91">
        <f>IF(J54&gt;0,$D$39,IF(J55&gt;0,$D$40,IF(J56&gt;0,$D$41,0)))</f>
        <v>2</v>
      </c>
      <c r="J53" s="153">
        <f>IF(AND(G52&lt;&gt;0,H52&lt;&gt;0),2,IF(AND(G52=0,H52=0),0,1))</f>
        <v>2</v>
      </c>
      <c r="K53" s="171" t="s">
        <v>69</v>
      </c>
      <c r="L53" s="161"/>
      <c r="M53" s="162"/>
      <c r="N53" s="163">
        <v>115083395</v>
      </c>
      <c r="O53" s="149">
        <f t="shared" si="1"/>
        <v>5</v>
      </c>
      <c r="P53" s="149" t="str">
        <f>IF(Q53,"Sim","")</f>
        <v/>
      </c>
      <c r="Q53" s="151" t="b">
        <f>OR(AND(N53="",H49&lt;&gt;""),AND(NOT(ISNUMBER(N53)),N53&lt;&gt;""))</f>
        <v>0</v>
      </c>
      <c r="R53" s="157">
        <f>IF(AND(H49&lt;&gt;"",NOT(Q53)),$D$36,0)</f>
        <v>10</v>
      </c>
      <c r="S53" s="157">
        <f>IF(S51&gt;$N$34,$N$34,S51)</f>
        <v>0</v>
      </c>
    </row>
    <row r="54" spans="1:19" ht="15.75" thickBot="1" x14ac:dyDescent="0.3">
      <c r="A54" s="151"/>
      <c r="B54" s="355"/>
      <c r="C54" s="356"/>
      <c r="D54" s="360"/>
      <c r="E54" s="360"/>
      <c r="F54" s="85" t="s">
        <v>58</v>
      </c>
      <c r="G54" s="349"/>
      <c r="H54" s="350"/>
      <c r="I54" s="148"/>
      <c r="J54" s="153">
        <f>COUNTA((G54))</f>
        <v>0</v>
      </c>
      <c r="K54" s="368" t="s">
        <v>89</v>
      </c>
      <c r="L54" s="369"/>
      <c r="M54" s="369"/>
      <c r="N54" s="370"/>
      <c r="R54" s="157"/>
      <c r="S54" s="157"/>
    </row>
    <row r="55" spans="1:19" x14ac:dyDescent="0.25">
      <c r="A55" s="151"/>
      <c r="B55" s="355"/>
      <c r="C55" s="356"/>
      <c r="D55" s="360"/>
      <c r="E55" s="360"/>
      <c r="F55" s="86" t="s">
        <v>59</v>
      </c>
      <c r="G55" s="351"/>
      <c r="H55" s="352"/>
      <c r="I55" s="148"/>
      <c r="J55" s="153">
        <f>COUNTA((G55))</f>
        <v>0</v>
      </c>
      <c r="K55" s="96" t="s">
        <v>68</v>
      </c>
      <c r="L55" s="204"/>
      <c r="M55" s="197"/>
      <c r="N55" s="198">
        <f>N51</f>
        <v>22873052.890000001</v>
      </c>
      <c r="O55" s="149">
        <f>IF(R55&gt;1,IF(N55&gt;$C$35,$E$35,IF(N55&gt;$C$33,$E$34,IF(N55&gt;0,$E$33,0))),0)</f>
        <v>8</v>
      </c>
      <c r="P55" s="149" t="str">
        <f>IF(Q55,"Sim","")</f>
        <v/>
      </c>
      <c r="Q55" s="151" t="b">
        <f>OR(AND(N55="",G51&lt;&gt;""),AND(NOT(ISNUMBER(N55)),N55&lt;&gt;""))</f>
        <v>0</v>
      </c>
      <c r="R55" s="157">
        <f>IF(AND(G51&lt;&gt;"",NOT(Q55)),$D$36,0)</f>
        <v>10</v>
      </c>
      <c r="S55" s="157">
        <f>R55+R56</f>
        <v>20</v>
      </c>
    </row>
    <row r="56" spans="1:19" ht="15.75" thickBot="1" x14ac:dyDescent="0.3">
      <c r="A56" s="151"/>
      <c r="B56" s="355"/>
      <c r="C56" s="356"/>
      <c r="D56" s="360"/>
      <c r="E56" s="360"/>
      <c r="F56" s="86" t="s">
        <v>60</v>
      </c>
      <c r="G56" s="327" t="s">
        <v>17</v>
      </c>
      <c r="H56" s="328"/>
      <c r="I56" s="93"/>
      <c r="J56" s="153">
        <f>COUNTA((G56))</f>
        <v>1</v>
      </c>
      <c r="K56" s="96" t="s">
        <v>69</v>
      </c>
      <c r="L56" s="206"/>
      <c r="M56" s="207"/>
      <c r="N56" s="208">
        <f>N53</f>
        <v>115083395</v>
      </c>
      <c r="O56" s="149">
        <f>IF(R56&gt;1,IF(N56&gt;$C$35,$E$35,IF(N56&gt;$C$33,$E$34,IF(N56&gt;0,$E$33,0))),0)</f>
        <v>8</v>
      </c>
      <c r="P56" s="149" t="str">
        <f>IF(Q56,"Sim","")</f>
        <v/>
      </c>
      <c r="Q56" s="151" t="b">
        <f>OR(AND(N56="",H51&lt;&gt;""),AND(NOT(ISNUMBER(N56)),N56&lt;&gt;""))</f>
        <v>0</v>
      </c>
      <c r="R56" s="157">
        <f>IF(AND(H51&lt;&gt;"",NOT(Q56)),$D$36,0)</f>
        <v>10</v>
      </c>
      <c r="S56" s="157">
        <f>IF(S55&gt;$N$36,$N$36,S55)</f>
        <v>0</v>
      </c>
    </row>
    <row r="57" spans="1:19" ht="15.75" thickBot="1" x14ac:dyDescent="0.3">
      <c r="A57" s="151"/>
      <c r="B57" s="357"/>
      <c r="C57" s="358"/>
      <c r="D57" s="361"/>
      <c r="E57" s="361"/>
      <c r="F57" s="141" t="s">
        <v>49</v>
      </c>
      <c r="G57" s="371">
        <f>IF(I48+I50+I53&gt;$H$45,$H$45,I48+I50+I53)</f>
        <v>28</v>
      </c>
      <c r="H57" s="372"/>
      <c r="I57" s="372"/>
      <c r="J57" s="153"/>
      <c r="K57" s="97" t="s">
        <v>62</v>
      </c>
      <c r="L57" s="161"/>
      <c r="M57" s="162"/>
      <c r="N57" s="27" t="s">
        <v>92</v>
      </c>
      <c r="R57" s="157"/>
      <c r="S57" s="157"/>
    </row>
    <row r="58" spans="1:19" ht="15" customHeight="1" thickBot="1" x14ac:dyDescent="0.3">
      <c r="A58" s="151"/>
      <c r="B58" s="353" t="s">
        <v>29</v>
      </c>
      <c r="C58" s="354"/>
      <c r="D58" s="359" t="s">
        <v>31</v>
      </c>
      <c r="E58" s="359"/>
      <c r="F58" s="139" t="s">
        <v>24</v>
      </c>
      <c r="G58" s="139">
        <v>1</v>
      </c>
      <c r="H58" s="139">
        <v>2</v>
      </c>
      <c r="I58" s="182">
        <f>IF(O61+O63&gt;$D$36,$D$36,O61+O63)</f>
        <v>10</v>
      </c>
      <c r="J58" s="152"/>
      <c r="K58" s="382" t="str">
        <f>D58</f>
        <v>Engenheiro Geotécnico</v>
      </c>
      <c r="L58" s="383"/>
      <c r="M58" s="383"/>
      <c r="N58" s="384"/>
      <c r="R58" s="157"/>
      <c r="S58" s="157"/>
    </row>
    <row r="59" spans="1:19" ht="15.75" customHeight="1" thickBot="1" x14ac:dyDescent="0.3">
      <c r="A59" s="151"/>
      <c r="B59" s="355"/>
      <c r="C59" s="356"/>
      <c r="D59" s="360"/>
      <c r="E59" s="360"/>
      <c r="F59" s="83"/>
      <c r="G59" s="164" t="s">
        <v>17</v>
      </c>
      <c r="H59" s="165" t="s">
        <v>17</v>
      </c>
      <c r="I59" s="144"/>
      <c r="J59" s="153">
        <f>COUNTA(G59:H59)</f>
        <v>2</v>
      </c>
      <c r="K59" s="169" t="s">
        <v>3</v>
      </c>
      <c r="L59" s="166" t="s">
        <v>88</v>
      </c>
      <c r="M59" s="166" t="s">
        <v>83</v>
      </c>
      <c r="N59" s="170" t="s">
        <v>74</v>
      </c>
      <c r="R59" s="157"/>
      <c r="S59" s="157"/>
    </row>
    <row r="60" spans="1:19" ht="15.75" customHeight="1" thickBot="1" x14ac:dyDescent="0.3">
      <c r="A60" s="151"/>
      <c r="B60" s="355"/>
      <c r="C60" s="356"/>
      <c r="D60" s="360"/>
      <c r="E60" s="360"/>
      <c r="F60" s="143" t="s">
        <v>25</v>
      </c>
      <c r="G60" s="143">
        <v>1</v>
      </c>
      <c r="H60" s="143">
        <v>2</v>
      </c>
      <c r="I60" s="182">
        <f>IF(O65+O66&gt;$E$36,$E$36,O65+O66)</f>
        <v>16</v>
      </c>
      <c r="J60" s="154"/>
      <c r="K60" s="365" t="s">
        <v>90</v>
      </c>
      <c r="L60" s="366"/>
      <c r="M60" s="366"/>
      <c r="N60" s="367"/>
      <c r="Q60" s="19"/>
      <c r="R60" s="157"/>
      <c r="S60" s="157"/>
    </row>
    <row r="61" spans="1:19" ht="15.75" customHeight="1" thickBot="1" x14ac:dyDescent="0.3">
      <c r="A61" s="151"/>
      <c r="B61" s="355"/>
      <c r="C61" s="356"/>
      <c r="D61" s="360"/>
      <c r="E61" s="360"/>
      <c r="F61" s="84" t="s">
        <v>31</v>
      </c>
      <c r="G61" s="164" t="s">
        <v>17</v>
      </c>
      <c r="H61" s="165" t="s">
        <v>17</v>
      </c>
      <c r="I61" s="148"/>
      <c r="J61" s="153"/>
      <c r="K61" s="94" t="s">
        <v>68</v>
      </c>
      <c r="L61" s="158"/>
      <c r="M61" s="159"/>
      <c r="N61" s="198">
        <v>59870420</v>
      </c>
      <c r="O61" s="149">
        <f>IF(R61&gt;1,IF(N61&gt;$C$35,$D$35,IF(N61&gt;$C$33,$D$34,IF(N61&gt;0,$D$33,0))),0)</f>
        <v>5</v>
      </c>
      <c r="P61" s="149" t="str">
        <f>IF(Q61,"Sim","")</f>
        <v/>
      </c>
      <c r="Q61" s="151" t="b">
        <f>OR(AND(N61="",G59&lt;&gt;""),AND(NOT(ISNUMBER(N61)),N61&lt;&gt;""))</f>
        <v>0</v>
      </c>
      <c r="R61" s="157">
        <f>IF(AND(G59&lt;&gt;"",NOT(Q61)),$D$36,0)</f>
        <v>10</v>
      </c>
      <c r="S61" s="157">
        <f>R61+R63</f>
        <v>20</v>
      </c>
    </row>
    <row r="62" spans="1:19" ht="1.5" customHeight="1" x14ac:dyDescent="0.25">
      <c r="A62" s="151"/>
      <c r="B62" s="355"/>
      <c r="C62" s="356"/>
      <c r="D62" s="360"/>
      <c r="E62" s="360"/>
      <c r="F62" s="73"/>
      <c r="G62" s="87">
        <f>COUNTA(G61:G61)</f>
        <v>1</v>
      </c>
      <c r="H62" s="87">
        <f>COUNTA(H61:H61)</f>
        <v>1</v>
      </c>
      <c r="I62" s="92"/>
      <c r="J62" s="153"/>
      <c r="K62" s="171"/>
      <c r="L62" s="21"/>
      <c r="M62" s="22"/>
      <c r="N62" s="26"/>
      <c r="O62" s="149">
        <f t="shared" ref="O62:O63" si="2">IF(R62&gt;1,IF(N62&gt;$C$35,$D$35,IF(N62&gt;$C$33,$D$34,IF(N62&gt;0,$D$33,0))),0)</f>
        <v>0</v>
      </c>
      <c r="R62" s="157"/>
      <c r="S62" s="157"/>
    </row>
    <row r="63" spans="1:19" ht="15.75" customHeight="1" thickBot="1" x14ac:dyDescent="0.3">
      <c r="A63" s="151"/>
      <c r="B63" s="355"/>
      <c r="C63" s="356"/>
      <c r="D63" s="360"/>
      <c r="E63" s="360"/>
      <c r="F63" s="143" t="s">
        <v>26</v>
      </c>
      <c r="G63" s="335" t="s">
        <v>62</v>
      </c>
      <c r="H63" s="336"/>
      <c r="I63" s="91">
        <f>IF(J64&gt;0,$D$39,IF(J65&gt;0,$D$40,IF(J66&gt;0,$D$41,0)))</f>
        <v>2</v>
      </c>
      <c r="J63" s="153">
        <f>IF(AND(G62&lt;&gt;0,H62&lt;&gt;0),2,IF(AND(G62=0,H62=0),0,1))</f>
        <v>2</v>
      </c>
      <c r="K63" s="171" t="s">
        <v>69</v>
      </c>
      <c r="L63" s="161"/>
      <c r="M63" s="162"/>
      <c r="N63" s="208">
        <f>0.1*3.2*98618987</f>
        <v>31558075.840000007</v>
      </c>
      <c r="O63" s="149">
        <f t="shared" si="2"/>
        <v>5</v>
      </c>
      <c r="P63" s="149" t="str">
        <f>IF(Q63,"Sim","")</f>
        <v/>
      </c>
      <c r="Q63" s="151" t="b">
        <f>OR(AND(N63="",H59&lt;&gt;""),AND(NOT(ISNUMBER(N63)),N63&lt;&gt;""))</f>
        <v>0</v>
      </c>
      <c r="R63" s="157">
        <f>IF(AND(H59&lt;&gt;"",NOT(Q63)),$D$36,0)</f>
        <v>10</v>
      </c>
      <c r="S63" s="157">
        <f>IF(S61&gt;$N$34,$N$34,S61)</f>
        <v>0</v>
      </c>
    </row>
    <row r="64" spans="1:19" ht="15.75" thickBot="1" x14ac:dyDescent="0.3">
      <c r="A64" s="151"/>
      <c r="B64" s="355"/>
      <c r="C64" s="356"/>
      <c r="D64" s="360"/>
      <c r="E64" s="360"/>
      <c r="F64" s="85" t="s">
        <v>58</v>
      </c>
      <c r="G64" s="349"/>
      <c r="H64" s="350"/>
      <c r="I64" s="144"/>
      <c r="J64" s="153">
        <f>COUNTA((G64))</f>
        <v>0</v>
      </c>
      <c r="K64" s="368" t="s">
        <v>89</v>
      </c>
      <c r="L64" s="385"/>
      <c r="M64" s="385"/>
      <c r="N64" s="386"/>
      <c r="R64" s="157"/>
      <c r="S64" s="157"/>
    </row>
    <row r="65" spans="1:19" x14ac:dyDescent="0.25">
      <c r="A65" s="151"/>
      <c r="B65" s="355"/>
      <c r="C65" s="356"/>
      <c r="D65" s="360"/>
      <c r="E65" s="360"/>
      <c r="F65" s="86" t="s">
        <v>59</v>
      </c>
      <c r="G65" s="351"/>
      <c r="H65" s="352"/>
      <c r="I65" s="144"/>
      <c r="J65" s="153">
        <f>COUNTA((G65))</f>
        <v>0</v>
      </c>
      <c r="K65" s="96" t="s">
        <v>68</v>
      </c>
      <c r="L65" s="204"/>
      <c r="M65" s="197"/>
      <c r="N65" s="198">
        <f>N61</f>
        <v>59870420</v>
      </c>
      <c r="O65" s="149">
        <f>IF(R65&gt;1,IF(N65&gt;$C$35,$E$35,IF(N65&gt;$C$33,$E$34,IF(N65&gt;0,$E$33,0))),0)</f>
        <v>8</v>
      </c>
      <c r="P65" s="149" t="str">
        <f>IF(Q65,"Sim","")</f>
        <v/>
      </c>
      <c r="Q65" s="151" t="b">
        <f>OR(AND(N65="",G61&lt;&gt;""),AND(NOT(ISNUMBER(N65)),N65&lt;&gt;""))</f>
        <v>0</v>
      </c>
      <c r="R65" s="157">
        <f>IF(AND(G61&lt;&gt;"",NOT(Q65)),$D$36,0)</f>
        <v>10</v>
      </c>
      <c r="S65" s="157">
        <f>R65+R66</f>
        <v>20</v>
      </c>
    </row>
    <row r="66" spans="1:19" ht="15.75" thickBot="1" x14ac:dyDescent="0.3">
      <c r="A66" s="151"/>
      <c r="B66" s="355"/>
      <c r="C66" s="356"/>
      <c r="D66" s="360"/>
      <c r="E66" s="360"/>
      <c r="F66" s="86" t="s">
        <v>60</v>
      </c>
      <c r="G66" s="327" t="s">
        <v>17</v>
      </c>
      <c r="H66" s="328"/>
      <c r="I66" s="144"/>
      <c r="J66" s="153">
        <f>COUNTA((G66))</f>
        <v>1</v>
      </c>
      <c r="K66" s="96" t="s">
        <v>69</v>
      </c>
      <c r="L66" s="206"/>
      <c r="M66" s="207"/>
      <c r="N66" s="208">
        <f>N63</f>
        <v>31558075.840000007</v>
      </c>
      <c r="O66" s="149">
        <f>IF(R66&gt;1,IF(N66&gt;$C$35,$E$35,IF(N66&gt;$C$33,$E$34,IF(N66&gt;0,$E$33,0))),0)</f>
        <v>8</v>
      </c>
      <c r="P66" s="149" t="str">
        <f>IF(Q66,"Sim","")</f>
        <v/>
      </c>
      <c r="Q66" s="151" t="b">
        <f>OR(AND(N66="",H61&lt;&gt;""),AND(NOT(ISNUMBER(N66)),N66&lt;&gt;""))</f>
        <v>0</v>
      </c>
      <c r="R66" s="157">
        <f>IF(AND(H61&lt;&gt;"",NOT(Q66)),$D$36,0)</f>
        <v>10</v>
      </c>
      <c r="S66" s="157">
        <f>IF(S65&gt;$N$36,$N$36,S65)</f>
        <v>0</v>
      </c>
    </row>
    <row r="67" spans="1:19" ht="15.75" thickBot="1" x14ac:dyDescent="0.3">
      <c r="A67" s="151"/>
      <c r="B67" s="357"/>
      <c r="C67" s="358"/>
      <c r="D67" s="361"/>
      <c r="E67" s="361"/>
      <c r="F67" s="146" t="s">
        <v>49</v>
      </c>
      <c r="G67" s="371">
        <f>IF(I58+I60+I63&gt;$H$45,$H$45,I58+I60+I63)</f>
        <v>28</v>
      </c>
      <c r="H67" s="372"/>
      <c r="I67" s="372"/>
      <c r="J67" s="153"/>
      <c r="K67" s="97" t="s">
        <v>62</v>
      </c>
      <c r="L67" s="206"/>
      <c r="M67" s="207"/>
      <c r="N67" s="208"/>
      <c r="R67" s="157"/>
      <c r="S67" s="157"/>
    </row>
    <row r="68" spans="1:19" ht="15" customHeight="1" thickBot="1" x14ac:dyDescent="0.3">
      <c r="A68" s="151"/>
      <c r="B68" s="394" t="s">
        <v>32</v>
      </c>
      <c r="C68" s="395"/>
      <c r="D68" s="395" t="s">
        <v>33</v>
      </c>
      <c r="E68" s="395"/>
      <c r="F68" s="69" t="s">
        <v>24</v>
      </c>
      <c r="G68" s="69">
        <v>1</v>
      </c>
      <c r="H68" s="69">
        <v>2</v>
      </c>
      <c r="I68" s="182">
        <f>IF(O71+O73&gt;$D$36,$D$36,O71+O73)</f>
        <v>10</v>
      </c>
      <c r="J68" s="152"/>
      <c r="K68" s="343" t="str">
        <f>D68</f>
        <v>Engenheiro Mecânico</v>
      </c>
      <c r="L68" s="344"/>
      <c r="M68" s="344"/>
      <c r="N68" s="345"/>
      <c r="R68" s="157"/>
      <c r="S68" s="157"/>
    </row>
    <row r="69" spans="1:19" ht="15.75" customHeight="1" thickBot="1" x14ac:dyDescent="0.3">
      <c r="A69" s="151"/>
      <c r="B69" s="392"/>
      <c r="C69" s="360"/>
      <c r="D69" s="360"/>
      <c r="E69" s="360"/>
      <c r="F69" s="83"/>
      <c r="G69" s="164" t="s">
        <v>17</v>
      </c>
      <c r="H69" s="165" t="s">
        <v>17</v>
      </c>
      <c r="I69" s="144"/>
      <c r="J69" s="153">
        <f>COUNTA(G69:H69)</f>
        <v>2</v>
      </c>
      <c r="K69" s="98" t="s">
        <v>3</v>
      </c>
      <c r="L69" s="88" t="s">
        <v>88</v>
      </c>
      <c r="M69" s="88" t="s">
        <v>83</v>
      </c>
      <c r="N69" s="99" t="s">
        <v>74</v>
      </c>
      <c r="R69" s="157"/>
      <c r="S69" s="157"/>
    </row>
    <row r="70" spans="1:19" ht="15.75" customHeight="1" thickBot="1" x14ac:dyDescent="0.3">
      <c r="A70" s="151"/>
      <c r="B70" s="392"/>
      <c r="C70" s="360"/>
      <c r="D70" s="360"/>
      <c r="E70" s="360"/>
      <c r="F70" s="143" t="s">
        <v>25</v>
      </c>
      <c r="G70" s="143">
        <v>1</v>
      </c>
      <c r="H70" s="143">
        <v>2</v>
      </c>
      <c r="I70" s="182">
        <f>IF(O75+O76&gt;$E$36,$E$36,O75+O76)</f>
        <v>16</v>
      </c>
      <c r="J70" s="154"/>
      <c r="K70" s="346" t="s">
        <v>90</v>
      </c>
      <c r="L70" s="347"/>
      <c r="M70" s="347"/>
      <c r="N70" s="348"/>
      <c r="Q70" s="19"/>
      <c r="R70" s="157"/>
      <c r="S70" s="157"/>
    </row>
    <row r="71" spans="1:19" ht="15.75" customHeight="1" thickBot="1" x14ac:dyDescent="0.3">
      <c r="A71" s="151"/>
      <c r="B71" s="392"/>
      <c r="C71" s="360"/>
      <c r="D71" s="360"/>
      <c r="E71" s="360"/>
      <c r="F71" s="84" t="s">
        <v>33</v>
      </c>
      <c r="G71" s="164" t="s">
        <v>17</v>
      </c>
      <c r="H71" s="165" t="s">
        <v>17</v>
      </c>
      <c r="I71" s="148"/>
      <c r="J71" s="153"/>
      <c r="K71" s="94" t="s">
        <v>68</v>
      </c>
      <c r="L71" s="158"/>
      <c r="M71" s="159"/>
      <c r="N71" s="160">
        <f>N66</f>
        <v>31558075.840000007</v>
      </c>
      <c r="O71" s="149">
        <f>IF(R71&gt;1,IF(N71&gt;$C$35,$D$35,IF(N71&gt;$C$33,$D$34,IF(N71&gt;0,$D$33,0))),0)</f>
        <v>5</v>
      </c>
      <c r="P71" s="149" t="str">
        <f>IF(Q71,"Sim","")</f>
        <v/>
      </c>
      <c r="Q71" s="151" t="b">
        <f>OR(AND(N71="",G69&lt;&gt;""),AND(NOT(ISNUMBER(N71)),N71&lt;&gt;""))</f>
        <v>0</v>
      </c>
      <c r="R71" s="157">
        <f>IF(AND(G69&lt;&gt;"",NOT(Q71)),$D$36,0)</f>
        <v>10</v>
      </c>
      <c r="S71" s="157">
        <f>R71+R73</f>
        <v>20</v>
      </c>
    </row>
    <row r="72" spans="1:19" ht="1.5" customHeight="1" x14ac:dyDescent="0.25">
      <c r="A72" s="151"/>
      <c r="B72" s="392"/>
      <c r="C72" s="360"/>
      <c r="D72" s="360"/>
      <c r="E72" s="360"/>
      <c r="F72" s="73"/>
      <c r="G72" s="87">
        <f>COUNTA(G71:G71)</f>
        <v>1</v>
      </c>
      <c r="H72" s="87">
        <f>COUNTA(H71:H71)</f>
        <v>1</v>
      </c>
      <c r="I72" s="92"/>
      <c r="J72" s="153"/>
      <c r="K72" s="171"/>
      <c r="L72" s="21"/>
      <c r="M72" s="22"/>
      <c r="N72" s="26"/>
      <c r="O72" s="149">
        <f t="shared" ref="O72:O73" si="3">IF(R72&gt;1,IF(N72&gt;$C$35,$D$35,IF(N72&gt;$C$33,$D$34,IF(N72&gt;0,$D$33,0))),0)</f>
        <v>0</v>
      </c>
      <c r="R72" s="157"/>
      <c r="S72" s="157"/>
    </row>
    <row r="73" spans="1:19" ht="15.75" customHeight="1" thickBot="1" x14ac:dyDescent="0.3">
      <c r="A73" s="151"/>
      <c r="B73" s="392"/>
      <c r="C73" s="360"/>
      <c r="D73" s="360"/>
      <c r="E73" s="360"/>
      <c r="F73" s="143" t="s">
        <v>26</v>
      </c>
      <c r="G73" s="335" t="s">
        <v>62</v>
      </c>
      <c r="H73" s="336"/>
      <c r="I73" s="91">
        <f>IF(J74&gt;0,$D$39,IF(J75&gt;0,$D$40,IF(J76&gt;0,$D$41,0)))</f>
        <v>0</v>
      </c>
      <c r="J73" s="153">
        <f>IF(AND(G72&lt;&gt;0,H72&lt;&gt;0),2,IF(AND(G72=0,H72=0),0,1))</f>
        <v>2</v>
      </c>
      <c r="K73" s="100" t="s">
        <v>69</v>
      </c>
      <c r="L73" s="161"/>
      <c r="M73" s="162"/>
      <c r="N73" s="208">
        <f>N76</f>
        <v>22873052.890000001</v>
      </c>
      <c r="O73" s="149">
        <f t="shared" si="3"/>
        <v>5</v>
      </c>
      <c r="P73" s="149" t="str">
        <f>IF(Q73,"Sim","")</f>
        <v/>
      </c>
      <c r="Q73" s="151" t="b">
        <f>OR(AND(N73="",H69&lt;&gt;""),AND(NOT(ISNUMBER(N73)),N73&lt;&gt;""))</f>
        <v>0</v>
      </c>
      <c r="R73" s="157">
        <f>IF(AND(H69&lt;&gt;"",NOT(Q73)),$D$36,0)</f>
        <v>10</v>
      </c>
      <c r="S73" s="157">
        <f>IF(S71&gt;$N$34,$N$34,S71)</f>
        <v>0</v>
      </c>
    </row>
    <row r="74" spans="1:19" ht="15.75" thickBot="1" x14ac:dyDescent="0.3">
      <c r="A74" s="151"/>
      <c r="B74" s="392"/>
      <c r="C74" s="360"/>
      <c r="D74" s="360"/>
      <c r="E74" s="360"/>
      <c r="F74" s="85" t="s">
        <v>58</v>
      </c>
      <c r="G74" s="349"/>
      <c r="H74" s="350"/>
      <c r="I74" s="144"/>
      <c r="J74" s="153">
        <f>COUNTA((G74))</f>
        <v>0</v>
      </c>
      <c r="K74" s="368" t="s">
        <v>89</v>
      </c>
      <c r="L74" s="387"/>
      <c r="M74" s="387"/>
      <c r="N74" s="388"/>
      <c r="R74" s="157"/>
      <c r="S74" s="157"/>
    </row>
    <row r="75" spans="1:19" x14ac:dyDescent="0.25">
      <c r="A75" s="151"/>
      <c r="B75" s="392"/>
      <c r="C75" s="360"/>
      <c r="D75" s="360"/>
      <c r="E75" s="360"/>
      <c r="F75" s="86" t="s">
        <v>59</v>
      </c>
      <c r="G75" s="351"/>
      <c r="H75" s="352"/>
      <c r="I75" s="144"/>
      <c r="J75" s="153">
        <f>COUNTA((G75))</f>
        <v>0</v>
      </c>
      <c r="K75" s="101" t="s">
        <v>68</v>
      </c>
      <c r="L75" s="204"/>
      <c r="M75" s="197"/>
      <c r="N75" s="198">
        <f>N71</f>
        <v>31558075.840000007</v>
      </c>
      <c r="O75" s="149">
        <f>IF(R75&gt;1,IF(N75&gt;$C$35,$E$35,IF(N75&gt;$C$33,$E$34,IF(N75&gt;0,$E$33,0))),0)</f>
        <v>8</v>
      </c>
      <c r="P75" s="149" t="str">
        <f>IF(Q75,"Sim","")</f>
        <v/>
      </c>
      <c r="Q75" s="151" t="b">
        <f>OR(AND(N75="",G71&lt;&gt;""),AND(NOT(ISNUMBER(N75)),N75&lt;&gt;""))</f>
        <v>0</v>
      </c>
      <c r="R75" s="157">
        <f>IF(AND(G71&lt;&gt;"",NOT(Q75)),$D$36,0)</f>
        <v>10</v>
      </c>
      <c r="S75" s="157">
        <f>R75+R76</f>
        <v>20</v>
      </c>
    </row>
    <row r="76" spans="1:19" ht="15.75" thickBot="1" x14ac:dyDescent="0.3">
      <c r="A76" s="151"/>
      <c r="B76" s="392"/>
      <c r="C76" s="360"/>
      <c r="D76" s="360"/>
      <c r="E76" s="360"/>
      <c r="F76" s="86" t="s">
        <v>60</v>
      </c>
      <c r="G76" s="327"/>
      <c r="H76" s="328"/>
      <c r="I76" s="144"/>
      <c r="J76" s="153">
        <f>COUNTA((G76))</f>
        <v>0</v>
      </c>
      <c r="K76" s="96" t="s">
        <v>69</v>
      </c>
      <c r="L76" s="206"/>
      <c r="M76" s="207"/>
      <c r="N76" s="208">
        <f>N51</f>
        <v>22873052.890000001</v>
      </c>
      <c r="O76" s="149">
        <f>IF(R76&gt;1,IF(N76&gt;$C$35,$E$35,IF(N76&gt;$C$33,$E$34,IF(N76&gt;0,$E$33,0))),0)</f>
        <v>8</v>
      </c>
      <c r="P76" s="149" t="str">
        <f>IF(Q76,"Sim","")</f>
        <v/>
      </c>
      <c r="Q76" s="151" t="b">
        <f>OR(AND(N76="",H71&lt;&gt;""),AND(NOT(ISNUMBER(N76)),N76&lt;&gt;""))</f>
        <v>0</v>
      </c>
      <c r="R76" s="157">
        <f>IF(AND(H71&lt;&gt;"",NOT(Q76)),$D$36,0)</f>
        <v>10</v>
      </c>
      <c r="S76" s="157">
        <f>IF(S75&gt;$N$36,$N$36,S75)</f>
        <v>0</v>
      </c>
    </row>
    <row r="77" spans="1:19" ht="15.75" thickBot="1" x14ac:dyDescent="0.3">
      <c r="A77" s="151"/>
      <c r="B77" s="396"/>
      <c r="C77" s="397"/>
      <c r="D77" s="397"/>
      <c r="E77" s="397"/>
      <c r="F77" s="147" t="s">
        <v>49</v>
      </c>
      <c r="G77" s="389">
        <f>IF(I68+I70+I73&gt;$H$45,$H$45,I68+I70+I73)</f>
        <v>26</v>
      </c>
      <c r="H77" s="390"/>
      <c r="I77" s="390"/>
      <c r="J77" s="153"/>
      <c r="K77" s="97" t="s">
        <v>62</v>
      </c>
      <c r="L77" s="161"/>
      <c r="M77" s="162"/>
      <c r="N77" s="27" t="s">
        <v>92</v>
      </c>
      <c r="R77" s="157"/>
      <c r="S77" s="157"/>
    </row>
    <row r="78" spans="1:19" ht="15" customHeight="1" thickBot="1" x14ac:dyDescent="0.3">
      <c r="A78" s="151"/>
      <c r="B78" s="391" t="s">
        <v>34</v>
      </c>
      <c r="C78" s="359"/>
      <c r="D78" s="359" t="s">
        <v>35</v>
      </c>
      <c r="E78" s="359"/>
      <c r="F78" s="139" t="s">
        <v>24</v>
      </c>
      <c r="G78" s="139">
        <v>1</v>
      </c>
      <c r="H78" s="139">
        <v>2</v>
      </c>
      <c r="I78" s="182">
        <f>IF(O81+O83&gt;$D$36,$D$36,O81+O83)</f>
        <v>10</v>
      </c>
      <c r="J78" s="152"/>
      <c r="K78" s="382" t="str">
        <f>D78</f>
        <v>Engenheiro Eletricista</v>
      </c>
      <c r="L78" s="383"/>
      <c r="M78" s="383"/>
      <c r="N78" s="384"/>
      <c r="R78" s="157"/>
      <c r="S78" s="157"/>
    </row>
    <row r="79" spans="1:19" ht="15.75" customHeight="1" thickBot="1" x14ac:dyDescent="0.3">
      <c r="A79" s="151"/>
      <c r="B79" s="392"/>
      <c r="C79" s="360"/>
      <c r="D79" s="360"/>
      <c r="E79" s="360"/>
      <c r="F79" s="83"/>
      <c r="G79" s="164" t="s">
        <v>17</v>
      </c>
      <c r="H79" s="165" t="s">
        <v>17</v>
      </c>
      <c r="I79" s="144"/>
      <c r="J79" s="153">
        <f>COUNTA(G79:H79)</f>
        <v>2</v>
      </c>
      <c r="K79" s="169" t="s">
        <v>3</v>
      </c>
      <c r="L79" s="166" t="s">
        <v>88</v>
      </c>
      <c r="M79" s="166" t="s">
        <v>83</v>
      </c>
      <c r="N79" s="170" t="s">
        <v>74</v>
      </c>
      <c r="R79" s="157"/>
      <c r="S79" s="157"/>
    </row>
    <row r="80" spans="1:19" ht="15.75" customHeight="1" thickBot="1" x14ac:dyDescent="0.3">
      <c r="A80" s="151"/>
      <c r="B80" s="392"/>
      <c r="C80" s="360"/>
      <c r="D80" s="360"/>
      <c r="E80" s="360"/>
      <c r="F80" s="143" t="s">
        <v>25</v>
      </c>
      <c r="G80" s="143">
        <v>1</v>
      </c>
      <c r="H80" s="143">
        <v>2</v>
      </c>
      <c r="I80" s="182">
        <f>IF(O85+O86&gt;$E$36,$E$36,O85+O86)</f>
        <v>16</v>
      </c>
      <c r="J80" s="154"/>
      <c r="K80" s="365" t="s">
        <v>90</v>
      </c>
      <c r="L80" s="366"/>
      <c r="M80" s="366"/>
      <c r="N80" s="367"/>
      <c r="Q80" s="19"/>
      <c r="R80" s="157"/>
      <c r="S80" s="157"/>
    </row>
    <row r="81" spans="1:19" ht="15.75" customHeight="1" thickBot="1" x14ac:dyDescent="0.3">
      <c r="A81" s="151"/>
      <c r="B81" s="392"/>
      <c r="C81" s="360"/>
      <c r="D81" s="360"/>
      <c r="E81" s="360"/>
      <c r="F81" s="84" t="s">
        <v>35</v>
      </c>
      <c r="G81" s="164" t="s">
        <v>17</v>
      </c>
      <c r="H81" s="165" t="s">
        <v>17</v>
      </c>
      <c r="I81" s="148"/>
      <c r="J81" s="153"/>
      <c r="K81" s="94" t="s">
        <v>68</v>
      </c>
      <c r="L81" s="158"/>
      <c r="M81" s="159"/>
      <c r="N81" s="219">
        <f>N65</f>
        <v>59870420</v>
      </c>
      <c r="O81" s="149">
        <f>IF(R81&gt;1,IF(N81&gt;$C$35,$D$35,IF(N81&gt;$C$33,$D$34,IF(N81&gt;0,$D$33,0))),0)</f>
        <v>5</v>
      </c>
      <c r="P81" s="149" t="str">
        <f>IF(Q81,"Sim","")</f>
        <v/>
      </c>
      <c r="Q81" s="151" t="b">
        <f>OR(AND(N81="",G79&lt;&gt;""),AND(NOT(ISNUMBER(N81)),N81&lt;&gt;""))</f>
        <v>0</v>
      </c>
      <c r="R81" s="157">
        <f>IF(AND(G79&lt;&gt;"",NOT(Q81)),$D$36,0)</f>
        <v>10</v>
      </c>
      <c r="S81" s="157">
        <f>R81+R83</f>
        <v>20</v>
      </c>
    </row>
    <row r="82" spans="1:19" ht="1.5" customHeight="1" thickBot="1" x14ac:dyDescent="0.3">
      <c r="A82" s="151"/>
      <c r="B82" s="392"/>
      <c r="C82" s="360"/>
      <c r="D82" s="360"/>
      <c r="E82" s="360"/>
      <c r="F82" s="73"/>
      <c r="G82" s="87">
        <f>COUNTA(G81:G81)</f>
        <v>1</v>
      </c>
      <c r="H82" s="87">
        <f>COUNTA(H81:H81)</f>
        <v>1</v>
      </c>
      <c r="I82" s="92"/>
      <c r="J82" s="153"/>
      <c r="K82" s="171"/>
      <c r="L82" s="21"/>
      <c r="M82" s="22"/>
      <c r="N82" s="26"/>
      <c r="O82" s="149">
        <f t="shared" ref="O82:O83" si="4">IF(R82&gt;1,IF(N82&gt;$C$35,$D$35,IF(N82&gt;$C$33,$D$34,IF(N82&gt;0,$D$33,0))),0)</f>
        <v>0</v>
      </c>
      <c r="R82" s="157"/>
      <c r="S82" s="157"/>
    </row>
    <row r="83" spans="1:19" ht="15.75" customHeight="1" thickBot="1" x14ac:dyDescent="0.3">
      <c r="A83" s="151"/>
      <c r="B83" s="392"/>
      <c r="C83" s="360"/>
      <c r="D83" s="360"/>
      <c r="E83" s="360"/>
      <c r="F83" s="143" t="s">
        <v>26</v>
      </c>
      <c r="G83" s="335" t="s">
        <v>62</v>
      </c>
      <c r="H83" s="336"/>
      <c r="I83" s="91">
        <f>IF(J84&gt;0,$D$39,IF(J85&gt;0,$D$40,IF(J86&gt;0,$D$41,0)))</f>
        <v>0</v>
      </c>
      <c r="J83" s="153">
        <f>IF(AND(G82&lt;&gt;0,H82&lt;&gt;0),2,IF(AND(G82=0,H82=0),0,1))</f>
        <v>2</v>
      </c>
      <c r="K83" s="171" t="s">
        <v>69</v>
      </c>
      <c r="L83" s="161"/>
      <c r="M83" s="162"/>
      <c r="N83" s="198">
        <f>N86</f>
        <v>9474000.0999999996</v>
      </c>
      <c r="O83" s="149">
        <f t="shared" si="4"/>
        <v>5</v>
      </c>
      <c r="P83" s="149" t="str">
        <f>IF(Q83,"Sim","")</f>
        <v/>
      </c>
      <c r="Q83" s="151" t="b">
        <f>OR(AND(N83="",H79&lt;&gt;""),AND(NOT(ISNUMBER(N83)),N83&lt;&gt;""))</f>
        <v>0</v>
      </c>
      <c r="R83" s="157">
        <f>IF(AND(H79&lt;&gt;"",NOT(Q83)),$D$36,0)</f>
        <v>10</v>
      </c>
      <c r="S83" s="157">
        <f>IF(S81&gt;$N$34,$N$34,S81)</f>
        <v>0</v>
      </c>
    </row>
    <row r="84" spans="1:19" ht="15.75" thickBot="1" x14ac:dyDescent="0.3">
      <c r="A84" s="151"/>
      <c r="B84" s="392"/>
      <c r="C84" s="360"/>
      <c r="D84" s="360"/>
      <c r="E84" s="360"/>
      <c r="F84" s="85" t="s">
        <v>58</v>
      </c>
      <c r="G84" s="349"/>
      <c r="H84" s="350"/>
      <c r="I84" s="144"/>
      <c r="J84" s="153">
        <f>COUNTA((G84))</f>
        <v>0</v>
      </c>
      <c r="K84" s="368" t="s">
        <v>89</v>
      </c>
      <c r="L84" s="387"/>
      <c r="M84" s="387"/>
      <c r="N84" s="388"/>
      <c r="R84" s="157"/>
      <c r="S84" s="157"/>
    </row>
    <row r="85" spans="1:19" ht="15.75" thickBot="1" x14ac:dyDescent="0.3">
      <c r="A85" s="151"/>
      <c r="B85" s="392"/>
      <c r="C85" s="360"/>
      <c r="D85" s="360"/>
      <c r="E85" s="360"/>
      <c r="F85" s="86" t="s">
        <v>59</v>
      </c>
      <c r="G85" s="351"/>
      <c r="H85" s="352"/>
      <c r="I85" s="144"/>
      <c r="J85" s="153">
        <f>COUNTA((G85))</f>
        <v>0</v>
      </c>
      <c r="K85" s="96" t="s">
        <v>68</v>
      </c>
      <c r="L85" s="204"/>
      <c r="M85" s="197"/>
      <c r="N85" s="219">
        <f>N81</f>
        <v>59870420</v>
      </c>
      <c r="O85" s="149">
        <f>IF(R85&gt;1,IF(N85&gt;$C$35,$E$35,IF(N85&gt;$C$33,$E$34,IF(N85&gt;0,$E$33,0))),0)</f>
        <v>8</v>
      </c>
      <c r="P85" s="149" t="str">
        <f>IF(Q85,"Sim","")</f>
        <v/>
      </c>
      <c r="Q85" s="151" t="b">
        <f>OR(AND(N85="",G81&lt;&gt;""),AND(NOT(ISNUMBER(N85)),N85&lt;&gt;""))</f>
        <v>0</v>
      </c>
      <c r="R85" s="157">
        <f>IF(AND(G81&lt;&gt;"",NOT(Q85)),$D$36,0)</f>
        <v>10</v>
      </c>
      <c r="S85" s="157">
        <f>R85+R86</f>
        <v>20</v>
      </c>
    </row>
    <row r="86" spans="1:19" ht="15.75" thickBot="1" x14ac:dyDescent="0.3">
      <c r="A86" s="151"/>
      <c r="B86" s="392"/>
      <c r="C86" s="360"/>
      <c r="D86" s="360"/>
      <c r="E86" s="360"/>
      <c r="F86" s="86" t="s">
        <v>60</v>
      </c>
      <c r="G86" s="327"/>
      <c r="H86" s="328"/>
      <c r="I86" s="144"/>
      <c r="J86" s="153">
        <f>COUNTA((G86))</f>
        <v>0</v>
      </c>
      <c r="K86" s="96" t="s">
        <v>69</v>
      </c>
      <c r="L86" s="206"/>
      <c r="M86" s="207"/>
      <c r="N86" s="198">
        <v>9474000.0999999996</v>
      </c>
      <c r="O86" s="149">
        <f>IF(R86&gt;1,IF(N86&gt;$C$35,$E$35,IF(N86&gt;$C$33,$E$34,IF(N86&gt;0,$E$33,0))),0)</f>
        <v>8</v>
      </c>
      <c r="P86" s="149" t="str">
        <f>IF(Q86,"Sim","")</f>
        <v/>
      </c>
      <c r="Q86" s="151" t="b">
        <f>OR(AND(N86="",H81&lt;&gt;""),AND(NOT(ISNUMBER(N86)),N86&lt;&gt;""))</f>
        <v>0</v>
      </c>
      <c r="R86" s="157">
        <f>IF(AND(H81&lt;&gt;"",NOT(Q86)),$D$36,0)</f>
        <v>10</v>
      </c>
      <c r="S86" s="157">
        <f>IF(S85&gt;$N$36,$N$36,S85)</f>
        <v>0</v>
      </c>
    </row>
    <row r="87" spans="1:19" ht="15.75" thickBot="1" x14ac:dyDescent="0.3">
      <c r="A87" s="151"/>
      <c r="B87" s="393"/>
      <c r="C87" s="361"/>
      <c r="D87" s="361"/>
      <c r="E87" s="361"/>
      <c r="F87" s="146" t="s">
        <v>49</v>
      </c>
      <c r="G87" s="371">
        <f>IF(I78+I80+I83&gt;$H$45,$H$45,I78+I80+I83)</f>
        <v>26</v>
      </c>
      <c r="H87" s="372"/>
      <c r="I87" s="372"/>
      <c r="J87" s="153"/>
      <c r="K87" s="97" t="s">
        <v>62</v>
      </c>
      <c r="L87" s="161"/>
      <c r="M87" s="162"/>
      <c r="N87" s="208"/>
      <c r="R87" s="157"/>
      <c r="S87" s="157"/>
    </row>
    <row r="88" spans="1:19" ht="15" customHeight="1" thickBot="1" x14ac:dyDescent="0.3">
      <c r="A88" s="151"/>
      <c r="B88" s="394" t="s">
        <v>36</v>
      </c>
      <c r="C88" s="395"/>
      <c r="D88" s="395" t="s">
        <v>37</v>
      </c>
      <c r="E88" s="395"/>
      <c r="F88" s="69" t="s">
        <v>24</v>
      </c>
      <c r="G88" s="69">
        <v>1</v>
      </c>
      <c r="H88" s="69">
        <v>2</v>
      </c>
      <c r="I88" s="182">
        <f>IF(O91+O93&gt;$D$36,$D$36,O91+O93)</f>
        <v>10</v>
      </c>
      <c r="J88" s="152"/>
      <c r="K88" s="382" t="str">
        <f>D88</f>
        <v>Geólogo (Túnel)</v>
      </c>
      <c r="L88" s="383"/>
      <c r="M88" s="383"/>
      <c r="N88" s="384"/>
      <c r="R88" s="157"/>
      <c r="S88" s="157"/>
    </row>
    <row r="89" spans="1:19" ht="15.75" customHeight="1" thickBot="1" x14ac:dyDescent="0.3">
      <c r="A89" s="151"/>
      <c r="B89" s="392"/>
      <c r="C89" s="360"/>
      <c r="D89" s="360"/>
      <c r="E89" s="360"/>
      <c r="F89" s="83"/>
      <c r="G89" s="164" t="s">
        <v>17</v>
      </c>
      <c r="H89" s="165" t="s">
        <v>17</v>
      </c>
      <c r="I89" s="144"/>
      <c r="J89" s="153">
        <f>COUNTA(G89:H89)</f>
        <v>2</v>
      </c>
      <c r="K89" s="169" t="s">
        <v>3</v>
      </c>
      <c r="L89" s="166" t="s">
        <v>88</v>
      </c>
      <c r="M89" s="166" t="s">
        <v>83</v>
      </c>
      <c r="N89" s="170" t="s">
        <v>74</v>
      </c>
      <c r="R89" s="157"/>
      <c r="S89" s="157"/>
    </row>
    <row r="90" spans="1:19" ht="15.75" customHeight="1" thickBot="1" x14ac:dyDescent="0.3">
      <c r="A90" s="151"/>
      <c r="B90" s="392"/>
      <c r="C90" s="360"/>
      <c r="D90" s="360"/>
      <c r="E90" s="360"/>
      <c r="F90" s="143" t="s">
        <v>25</v>
      </c>
      <c r="G90" s="143">
        <v>1</v>
      </c>
      <c r="H90" s="143">
        <v>2</v>
      </c>
      <c r="I90" s="182">
        <f>IF(O95+O96&gt;$E$36,$E$36,O95+O96)</f>
        <v>16</v>
      </c>
      <c r="J90" s="154"/>
      <c r="K90" s="365" t="s">
        <v>90</v>
      </c>
      <c r="L90" s="366"/>
      <c r="M90" s="366"/>
      <c r="N90" s="367"/>
      <c r="Q90" s="19"/>
      <c r="R90" s="157"/>
      <c r="S90" s="157"/>
    </row>
    <row r="91" spans="1:19" ht="15.75" customHeight="1" thickBot="1" x14ac:dyDescent="0.3">
      <c r="A91" s="151"/>
      <c r="B91" s="392"/>
      <c r="C91" s="360"/>
      <c r="D91" s="360"/>
      <c r="E91" s="360"/>
      <c r="F91" s="84" t="s">
        <v>37</v>
      </c>
      <c r="G91" s="164" t="s">
        <v>17</v>
      </c>
      <c r="H91" s="165" t="s">
        <v>17</v>
      </c>
      <c r="I91" s="148"/>
      <c r="J91" s="153"/>
      <c r="K91" s="94" t="s">
        <v>68</v>
      </c>
      <c r="L91" s="158"/>
      <c r="M91" s="159"/>
      <c r="N91" s="160">
        <v>62262150</v>
      </c>
      <c r="O91" s="149">
        <f>IF(R91&gt;1,IF(N91&gt;$C$35,$D$35,IF(N91&gt;$C$33,$D$34,IF(N91&gt;0,$D$33,0))),0)</f>
        <v>5</v>
      </c>
      <c r="P91" s="149" t="str">
        <f>IF(Q91,"Sim","")</f>
        <v/>
      </c>
      <c r="Q91" s="151" t="b">
        <f>OR(AND(N91="",G89&lt;&gt;""),AND(NOT(ISNUMBER(N91)),N91&lt;&gt;""))</f>
        <v>0</v>
      </c>
      <c r="R91" s="157">
        <f>IF(AND(G89&lt;&gt;"",NOT(Q91)),$D$36,0)</f>
        <v>10</v>
      </c>
      <c r="S91" s="157">
        <f>R91+R93</f>
        <v>20</v>
      </c>
    </row>
    <row r="92" spans="1:19" ht="2.25" customHeight="1" x14ac:dyDescent="0.25">
      <c r="A92" s="151"/>
      <c r="B92" s="392"/>
      <c r="C92" s="360"/>
      <c r="D92" s="360"/>
      <c r="E92" s="360"/>
      <c r="F92" s="73"/>
      <c r="G92" s="87">
        <f>COUNTA(G91:G91)</f>
        <v>1</v>
      </c>
      <c r="H92" s="87">
        <f>COUNTA(H91:H91)</f>
        <v>1</v>
      </c>
      <c r="I92" s="92"/>
      <c r="J92" s="153"/>
      <c r="K92" s="171"/>
      <c r="L92" s="21"/>
      <c r="M92" s="22"/>
      <c r="N92" s="26"/>
      <c r="O92" s="149">
        <f t="shared" ref="O92:O93" si="5">IF(R92&gt;1,IF(N92&gt;$C$35,$D$35,IF(N92&gt;$C$33,$D$34,IF(N92&gt;0,$D$33,0))),0)</f>
        <v>0</v>
      </c>
      <c r="R92" s="157"/>
      <c r="S92" s="157"/>
    </row>
    <row r="93" spans="1:19" ht="15.75" customHeight="1" thickBot="1" x14ac:dyDescent="0.3">
      <c r="A93" s="151"/>
      <c r="B93" s="392"/>
      <c r="C93" s="360"/>
      <c r="D93" s="360"/>
      <c r="E93" s="360"/>
      <c r="F93" s="143" t="s">
        <v>26</v>
      </c>
      <c r="G93" s="335" t="s">
        <v>62</v>
      </c>
      <c r="H93" s="336"/>
      <c r="I93" s="91">
        <f>IF(J94&gt;0,$D$39,IF(J95&gt;0,$D$40,IF(J96&gt;0,$D$41,0)))</f>
        <v>0</v>
      </c>
      <c r="J93" s="153">
        <f>IF(AND(G92&lt;&gt;0,H92&lt;&gt;0),2,IF(AND(G92=0,H92=0),0,1))</f>
        <v>2</v>
      </c>
      <c r="K93" s="171" t="s">
        <v>69</v>
      </c>
      <c r="L93" s="161"/>
      <c r="M93" s="162"/>
      <c r="N93" s="218">
        <v>59870420</v>
      </c>
      <c r="O93" s="149">
        <f t="shared" si="5"/>
        <v>5</v>
      </c>
      <c r="P93" s="149" t="str">
        <f>IF(Q93,"Sim","")</f>
        <v/>
      </c>
      <c r="Q93" s="151" t="b">
        <f>OR(AND(N93="",H89&lt;&gt;""),AND(NOT(ISNUMBER(N93)),N93&lt;&gt;""))</f>
        <v>0</v>
      </c>
      <c r="R93" s="157">
        <f>IF(AND(H89&lt;&gt;"",NOT(Q93)),$D$36,0)</f>
        <v>10</v>
      </c>
      <c r="S93" s="157">
        <f>IF(S91&gt;$N$34,$N$34,S91)</f>
        <v>0</v>
      </c>
    </row>
    <row r="94" spans="1:19" ht="15.75" thickBot="1" x14ac:dyDescent="0.3">
      <c r="A94" s="151"/>
      <c r="B94" s="392"/>
      <c r="C94" s="360"/>
      <c r="D94" s="360"/>
      <c r="E94" s="360"/>
      <c r="F94" s="85" t="s">
        <v>58</v>
      </c>
      <c r="G94" s="349"/>
      <c r="H94" s="350"/>
      <c r="I94" s="144"/>
      <c r="J94" s="153">
        <f>COUNTA((G94))</f>
        <v>0</v>
      </c>
      <c r="K94" s="402" t="s">
        <v>89</v>
      </c>
      <c r="L94" s="387"/>
      <c r="M94" s="387"/>
      <c r="N94" s="388"/>
      <c r="R94" s="157"/>
      <c r="S94" s="157"/>
    </row>
    <row r="95" spans="1:19" x14ac:dyDescent="0.25">
      <c r="A95" s="151"/>
      <c r="B95" s="392"/>
      <c r="C95" s="360"/>
      <c r="D95" s="360"/>
      <c r="E95" s="360"/>
      <c r="F95" s="86" t="s">
        <v>59</v>
      </c>
      <c r="G95" s="351"/>
      <c r="H95" s="352"/>
      <c r="I95" s="144"/>
      <c r="J95" s="153">
        <f>COUNTA((G95))</f>
        <v>0</v>
      </c>
      <c r="K95" s="96" t="s">
        <v>68</v>
      </c>
      <c r="L95" s="204"/>
      <c r="M95" s="197"/>
      <c r="N95" s="198">
        <f>N91</f>
        <v>62262150</v>
      </c>
      <c r="O95" s="149">
        <f>IF(R95&gt;1,IF(N95&gt;$C$35,$E$35,IF(N95&gt;$C$33,$E$34,IF(N95&gt;0,$E$33,0))),0)</f>
        <v>8</v>
      </c>
      <c r="P95" s="149" t="str">
        <f>IF(Q95,"Sim","")</f>
        <v/>
      </c>
      <c r="Q95" s="151" t="b">
        <f>OR(AND(N95="",G91&lt;&gt;""),AND(NOT(ISNUMBER(N95)),N95&lt;&gt;""))</f>
        <v>0</v>
      </c>
      <c r="R95" s="157">
        <f>IF(AND(G91&lt;&gt;"",NOT(Q95)),$D$36,0)</f>
        <v>10</v>
      </c>
      <c r="S95" s="157">
        <f>R95+R96</f>
        <v>20</v>
      </c>
    </row>
    <row r="96" spans="1:19" ht="15.75" thickBot="1" x14ac:dyDescent="0.3">
      <c r="A96" s="151"/>
      <c r="B96" s="392"/>
      <c r="C96" s="360"/>
      <c r="D96" s="360"/>
      <c r="E96" s="360"/>
      <c r="F96" s="86" t="s">
        <v>60</v>
      </c>
      <c r="G96" s="327"/>
      <c r="H96" s="328"/>
      <c r="I96" s="144"/>
      <c r="J96" s="153">
        <f>COUNTA((G96))</f>
        <v>0</v>
      </c>
      <c r="K96" s="96" t="s">
        <v>69</v>
      </c>
      <c r="L96" s="206"/>
      <c r="M96" s="207"/>
      <c r="N96" s="218">
        <f>N93</f>
        <v>59870420</v>
      </c>
      <c r="O96" s="149">
        <f>IF(R96&gt;1,IF(N96&gt;$C$35,$E$35,IF(N96&gt;$C$33,$E$34,IF(N96&gt;0,$E$33,0))),0)</f>
        <v>8</v>
      </c>
      <c r="P96" s="149" t="str">
        <f>IF(Q96,"Sim","")</f>
        <v/>
      </c>
      <c r="Q96" s="151" t="b">
        <f>OR(AND(N96="",H91&lt;&gt;""),AND(NOT(ISNUMBER(N96)),N96&lt;&gt;""))</f>
        <v>0</v>
      </c>
      <c r="R96" s="157">
        <f>IF(AND(H91&lt;&gt;"",NOT(Q96)),$D$36,0)</f>
        <v>10</v>
      </c>
      <c r="S96" s="157">
        <f>IF(S95&gt;$N$36,$N$36,S95)</f>
        <v>0</v>
      </c>
    </row>
    <row r="97" spans="1:19" ht="15.75" thickBot="1" x14ac:dyDescent="0.3">
      <c r="A97" s="151"/>
      <c r="B97" s="400"/>
      <c r="C97" s="401"/>
      <c r="D97" s="401"/>
      <c r="E97" s="401"/>
      <c r="F97" s="145" t="s">
        <v>49</v>
      </c>
      <c r="G97" s="403">
        <f>IF(I88+I90+I93&gt;$H$45,$H$45,I88+I90+I93)</f>
        <v>26</v>
      </c>
      <c r="H97" s="404"/>
      <c r="I97" s="404"/>
      <c r="J97" s="153"/>
      <c r="K97" s="102" t="s">
        <v>62</v>
      </c>
      <c r="L97" s="161"/>
      <c r="M97" s="162"/>
      <c r="N97" s="208"/>
      <c r="R97" s="157"/>
      <c r="S97" s="157"/>
    </row>
    <row r="98" spans="1:19" x14ac:dyDescent="0.25">
      <c r="F98" s="155" t="s">
        <v>55</v>
      </c>
      <c r="G98" s="398">
        <f>ROUND(IF((G57++G67+G77+G87+G97)/5&gt;H45,H45,(G57++G67+G77+G87+G97)/5),2)</f>
        <v>26.8</v>
      </c>
      <c r="H98" s="398"/>
      <c r="I98" s="399"/>
      <c r="J98" s="150"/>
    </row>
    <row r="99" spans="1:19" x14ac:dyDescent="0.25">
      <c r="F99" s="152"/>
      <c r="G99" s="152"/>
      <c r="H99" s="152"/>
      <c r="I99" s="152"/>
      <c r="J99" s="150"/>
    </row>
    <row r="100" spans="1:19" x14ac:dyDescent="0.25">
      <c r="F100" s="8" t="s">
        <v>50</v>
      </c>
      <c r="G100" s="254">
        <f>ROUND(G26+G98,2)</f>
        <v>46.8</v>
      </c>
      <c r="H100" s="254"/>
      <c r="I100" s="9" t="s">
        <v>42</v>
      </c>
      <c r="J100" s="150"/>
    </row>
    <row r="101" spans="1:19" x14ac:dyDescent="0.25">
      <c r="J101" s="150"/>
    </row>
    <row r="102" spans="1:19" x14ac:dyDescent="0.25">
      <c r="J102" s="150"/>
    </row>
    <row r="103" spans="1:19" x14ac:dyDescent="0.25">
      <c r="C103" s="149"/>
      <c r="D103" s="149"/>
      <c r="E103" s="149"/>
      <c r="F103" s="149"/>
      <c r="G103" s="149"/>
      <c r="H103" s="149"/>
      <c r="I103" s="149"/>
      <c r="J103" s="150"/>
    </row>
    <row r="104" spans="1:19" x14ac:dyDescent="0.25">
      <c r="C104" s="149"/>
      <c r="D104" s="149"/>
      <c r="E104" s="149"/>
      <c r="F104" s="149"/>
      <c r="G104" s="149"/>
      <c r="H104" s="149"/>
      <c r="I104" s="149"/>
      <c r="J104" s="150"/>
    </row>
    <row r="105" spans="1:19" x14ac:dyDescent="0.25">
      <c r="C105" s="149"/>
      <c r="D105" s="149"/>
      <c r="E105" s="149"/>
      <c r="F105" s="149"/>
      <c r="G105" s="149"/>
      <c r="H105" s="149"/>
      <c r="I105" s="149"/>
      <c r="J105" s="150"/>
    </row>
    <row r="106" spans="1:19" x14ac:dyDescent="0.25">
      <c r="C106" s="149"/>
      <c r="D106" s="149"/>
      <c r="E106" s="149"/>
      <c r="F106" s="149"/>
      <c r="G106" s="149"/>
      <c r="H106" s="149"/>
      <c r="I106" s="149"/>
      <c r="J106" s="150"/>
    </row>
    <row r="107" spans="1:19" x14ac:dyDescent="0.25">
      <c r="C107" s="149"/>
      <c r="D107" s="149"/>
      <c r="E107" s="149"/>
      <c r="F107" s="149"/>
      <c r="G107" s="149"/>
      <c r="H107" s="149"/>
      <c r="I107" s="149"/>
      <c r="J107" s="150"/>
    </row>
    <row r="108" spans="1:19" x14ac:dyDescent="0.25">
      <c r="C108" s="149"/>
      <c r="D108" s="149"/>
      <c r="E108" s="149"/>
      <c r="F108" s="149"/>
      <c r="G108" s="149"/>
      <c r="H108" s="149"/>
      <c r="I108" s="149"/>
      <c r="J108" s="150"/>
    </row>
    <row r="109" spans="1:19" x14ac:dyDescent="0.25">
      <c r="C109" s="149"/>
      <c r="D109" s="149"/>
      <c r="E109" s="149"/>
      <c r="F109" s="149"/>
      <c r="G109" s="149"/>
      <c r="H109" s="149"/>
      <c r="I109" s="149"/>
      <c r="J109" s="150"/>
    </row>
    <row r="110" spans="1:19" x14ac:dyDescent="0.25">
      <c r="C110" s="149"/>
      <c r="D110" s="149"/>
      <c r="E110" s="149"/>
      <c r="F110" s="149"/>
      <c r="G110" s="149"/>
      <c r="H110" s="149"/>
      <c r="I110" s="149"/>
      <c r="J110" s="150"/>
    </row>
    <row r="111" spans="1:19" x14ac:dyDescent="0.25">
      <c r="C111" s="149"/>
      <c r="D111" s="149"/>
      <c r="E111" s="149"/>
      <c r="F111" s="149"/>
      <c r="G111" s="149"/>
      <c r="H111" s="149"/>
      <c r="I111" s="149"/>
      <c r="J111" s="150"/>
    </row>
    <row r="112" spans="1:19" x14ac:dyDescent="0.25">
      <c r="C112" s="149"/>
      <c r="D112" s="149"/>
      <c r="E112" s="149"/>
      <c r="F112" s="149"/>
      <c r="G112" s="149"/>
      <c r="H112" s="149"/>
      <c r="I112" s="149"/>
      <c r="J112" s="150"/>
    </row>
    <row r="113" spans="3:10" x14ac:dyDescent="0.25">
      <c r="C113" s="149"/>
      <c r="D113" s="149"/>
      <c r="E113" s="149"/>
      <c r="F113" s="149"/>
      <c r="G113" s="149"/>
      <c r="H113" s="149"/>
      <c r="I113" s="149"/>
      <c r="J113" s="150"/>
    </row>
    <row r="114" spans="3:10" x14ac:dyDescent="0.25">
      <c r="C114" s="149"/>
      <c r="D114" s="149"/>
      <c r="E114" s="149"/>
      <c r="F114" s="149"/>
      <c r="G114" s="149"/>
      <c r="H114" s="149"/>
      <c r="I114" s="149"/>
      <c r="J114" s="150"/>
    </row>
    <row r="115" spans="3:10" x14ac:dyDescent="0.25">
      <c r="C115" s="149"/>
      <c r="D115" s="149"/>
      <c r="E115" s="149"/>
      <c r="F115" s="149"/>
      <c r="G115" s="149"/>
      <c r="H115" s="149"/>
      <c r="I115" s="149"/>
      <c r="J115" s="150"/>
    </row>
    <row r="116" spans="3:10" x14ac:dyDescent="0.25">
      <c r="C116" s="149"/>
      <c r="D116" s="149"/>
      <c r="E116" s="149"/>
      <c r="F116" s="149"/>
      <c r="G116" s="149"/>
      <c r="H116" s="149"/>
      <c r="I116" s="149"/>
      <c r="J116" s="150"/>
    </row>
    <row r="117" spans="3:10" x14ac:dyDescent="0.25">
      <c r="C117" s="149"/>
      <c r="D117" s="149"/>
      <c r="E117" s="149"/>
      <c r="F117" s="149"/>
      <c r="G117" s="149"/>
      <c r="H117" s="149"/>
      <c r="I117" s="149"/>
      <c r="J117" s="150"/>
    </row>
    <row r="118" spans="3:10" x14ac:dyDescent="0.25">
      <c r="C118" s="149"/>
      <c r="D118" s="149"/>
      <c r="E118" s="149"/>
      <c r="F118" s="149"/>
      <c r="G118" s="149"/>
      <c r="H118" s="149"/>
      <c r="I118" s="149"/>
      <c r="J118" s="150"/>
    </row>
    <row r="119" spans="3:10" x14ac:dyDescent="0.25">
      <c r="C119" s="149"/>
      <c r="D119" s="149"/>
      <c r="E119" s="149"/>
      <c r="F119" s="149"/>
      <c r="G119" s="149"/>
      <c r="H119" s="149"/>
      <c r="I119" s="149"/>
      <c r="J119" s="150"/>
    </row>
    <row r="120" spans="3:10" x14ac:dyDescent="0.25">
      <c r="C120" s="149"/>
      <c r="D120" s="149"/>
      <c r="E120" s="149"/>
      <c r="F120" s="149"/>
      <c r="G120" s="149"/>
      <c r="H120" s="149"/>
      <c r="I120" s="149"/>
      <c r="J120" s="150"/>
    </row>
    <row r="121" spans="3:10" x14ac:dyDescent="0.25">
      <c r="C121" s="149"/>
      <c r="D121" s="149"/>
      <c r="E121" s="149"/>
      <c r="F121" s="149"/>
      <c r="G121" s="149"/>
      <c r="H121" s="149"/>
      <c r="I121" s="149"/>
      <c r="J121" s="150"/>
    </row>
    <row r="122" spans="3:10" x14ac:dyDescent="0.25">
      <c r="C122" s="149"/>
      <c r="D122" s="149"/>
      <c r="E122" s="149"/>
      <c r="F122" s="149"/>
      <c r="G122" s="149"/>
      <c r="H122" s="149"/>
      <c r="I122" s="149"/>
      <c r="J122" s="150"/>
    </row>
    <row r="123" spans="3:10" x14ac:dyDescent="0.25">
      <c r="C123" s="149"/>
      <c r="D123" s="149"/>
      <c r="E123" s="149"/>
      <c r="F123" s="149"/>
      <c r="G123" s="149"/>
      <c r="H123" s="149"/>
      <c r="I123" s="149"/>
      <c r="J123" s="150"/>
    </row>
    <row r="124" spans="3:10" x14ac:dyDescent="0.25">
      <c r="C124" s="149"/>
      <c r="D124" s="149"/>
      <c r="E124" s="149"/>
      <c r="F124" s="149"/>
      <c r="G124" s="149"/>
      <c r="H124" s="149"/>
      <c r="I124" s="149"/>
      <c r="J124" s="150"/>
    </row>
    <row r="125" spans="3:10" x14ac:dyDescent="0.25">
      <c r="C125" s="149"/>
      <c r="D125" s="149"/>
      <c r="E125" s="149"/>
      <c r="F125" s="149"/>
      <c r="G125" s="149"/>
      <c r="H125" s="149"/>
      <c r="I125" s="149"/>
      <c r="J125" s="150"/>
    </row>
    <row r="126" spans="3:10" x14ac:dyDescent="0.25">
      <c r="C126" s="149"/>
      <c r="D126" s="149"/>
      <c r="E126" s="149"/>
      <c r="F126" s="149"/>
      <c r="G126" s="149"/>
      <c r="H126" s="149"/>
      <c r="I126" s="149"/>
      <c r="J126" s="150"/>
    </row>
    <row r="127" spans="3:10" x14ac:dyDescent="0.25">
      <c r="C127" s="149"/>
      <c r="D127" s="149"/>
      <c r="E127" s="149"/>
      <c r="F127" s="149"/>
      <c r="G127" s="149"/>
      <c r="H127" s="149"/>
      <c r="I127" s="149"/>
      <c r="J127" s="150"/>
    </row>
    <row r="128" spans="3:10" x14ac:dyDescent="0.25">
      <c r="C128" s="149"/>
      <c r="D128" s="149"/>
      <c r="E128" s="149"/>
      <c r="F128" s="149"/>
      <c r="G128" s="149"/>
      <c r="H128" s="149"/>
      <c r="I128" s="149"/>
      <c r="J128" s="150"/>
    </row>
    <row r="129" spans="3:11" x14ac:dyDescent="0.25">
      <c r="C129" s="149"/>
      <c r="D129" s="149"/>
      <c r="E129" s="149"/>
      <c r="F129" s="149"/>
      <c r="G129" s="149"/>
      <c r="H129" s="149"/>
      <c r="I129" s="149"/>
      <c r="J129" s="150"/>
    </row>
    <row r="130" spans="3:11" x14ac:dyDescent="0.25">
      <c r="C130" s="149"/>
      <c r="D130" s="149"/>
      <c r="E130" s="149"/>
      <c r="F130" s="149"/>
      <c r="G130" s="149"/>
      <c r="H130" s="149"/>
      <c r="I130" s="149"/>
      <c r="J130" s="150"/>
    </row>
    <row r="131" spans="3:11" x14ac:dyDescent="0.25">
      <c r="C131" s="149"/>
      <c r="D131" s="149"/>
      <c r="E131" s="149"/>
      <c r="F131" s="149"/>
      <c r="G131" s="149"/>
      <c r="H131" s="149"/>
      <c r="I131" s="149"/>
      <c r="J131" s="150"/>
    </row>
    <row r="132" spans="3:11" x14ac:dyDescent="0.25">
      <c r="C132" s="149"/>
      <c r="D132" s="149"/>
      <c r="E132" s="149"/>
      <c r="F132" s="149"/>
      <c r="G132" s="149"/>
      <c r="H132" s="149"/>
      <c r="I132" s="149"/>
      <c r="J132" s="150"/>
    </row>
    <row r="133" spans="3:11" x14ac:dyDescent="0.25">
      <c r="C133" s="149"/>
      <c r="D133" s="149"/>
      <c r="E133" s="149"/>
      <c r="F133" s="149"/>
      <c r="G133" s="149"/>
      <c r="H133" s="149"/>
      <c r="I133" s="149"/>
      <c r="J133" s="150"/>
    </row>
    <row r="134" spans="3:11" x14ac:dyDescent="0.25">
      <c r="C134" s="149"/>
      <c r="D134" s="149"/>
      <c r="E134" s="149"/>
      <c r="F134" s="149"/>
      <c r="G134" s="149"/>
      <c r="H134" s="149"/>
      <c r="I134" s="149"/>
      <c r="J134" s="150"/>
    </row>
    <row r="135" spans="3:11" x14ac:dyDescent="0.25">
      <c r="C135" s="149"/>
      <c r="D135" s="149"/>
      <c r="E135" s="149"/>
      <c r="F135" s="149"/>
      <c r="G135" s="149"/>
      <c r="H135" s="149"/>
      <c r="I135" s="149"/>
      <c r="J135" s="150"/>
    </row>
    <row r="136" spans="3:11" x14ac:dyDescent="0.25">
      <c r="C136" s="149"/>
      <c r="D136" s="149"/>
      <c r="E136" s="149"/>
      <c r="F136" s="149"/>
      <c r="G136" s="149"/>
      <c r="H136" s="149"/>
      <c r="I136" s="149"/>
      <c r="J136" s="150"/>
    </row>
    <row r="137" spans="3:11" x14ac:dyDescent="0.25">
      <c r="C137" s="149"/>
      <c r="D137" s="149"/>
      <c r="E137" s="149"/>
      <c r="F137" s="149"/>
      <c r="G137" s="149"/>
      <c r="H137" s="149"/>
      <c r="I137" s="149"/>
      <c r="J137" s="150"/>
    </row>
    <row r="138" spans="3:11" x14ac:dyDescent="0.25">
      <c r="C138" s="149"/>
      <c r="D138" s="149"/>
      <c r="E138" s="149"/>
      <c r="F138" s="149"/>
      <c r="G138" s="149"/>
      <c r="H138" s="149"/>
      <c r="I138" s="149"/>
      <c r="J138" s="150"/>
    </row>
    <row r="139" spans="3:11" x14ac:dyDescent="0.25">
      <c r="C139" s="149"/>
      <c r="D139" s="149"/>
      <c r="E139" s="149"/>
      <c r="F139" s="149"/>
      <c r="G139" s="149"/>
      <c r="H139" s="149"/>
      <c r="I139" s="149"/>
      <c r="J139" s="150"/>
    </row>
    <row r="140" spans="3:11" x14ac:dyDescent="0.25">
      <c r="C140" s="149"/>
      <c r="D140" s="149"/>
      <c r="E140" s="149"/>
      <c r="F140" s="149"/>
      <c r="G140" s="149"/>
      <c r="H140" s="149"/>
      <c r="I140" s="149"/>
      <c r="J140" s="150"/>
    </row>
    <row r="141" spans="3:11" x14ac:dyDescent="0.25">
      <c r="C141" s="149"/>
      <c r="D141" s="149"/>
      <c r="E141" s="149"/>
      <c r="F141" s="149"/>
      <c r="G141" s="149"/>
      <c r="H141" s="149"/>
      <c r="I141" s="149"/>
      <c r="J141" s="150"/>
    </row>
    <row r="142" spans="3:11" x14ac:dyDescent="0.25">
      <c r="C142" s="149"/>
      <c r="D142" s="149"/>
      <c r="E142" s="149"/>
      <c r="F142" s="149"/>
      <c r="G142" s="149"/>
      <c r="H142" s="149"/>
      <c r="I142" s="149"/>
      <c r="J142" s="150"/>
    </row>
    <row r="143" spans="3:11" x14ac:dyDescent="0.25">
      <c r="C143" s="149"/>
      <c r="D143" s="149"/>
      <c r="E143" s="149"/>
      <c r="F143" s="149"/>
      <c r="G143" s="149"/>
      <c r="H143" s="149"/>
      <c r="I143" s="149"/>
      <c r="J143" s="150"/>
    </row>
    <row r="144" spans="3:11" x14ac:dyDescent="0.25">
      <c r="C144" s="149"/>
      <c r="D144" s="149"/>
      <c r="E144" s="149"/>
      <c r="F144" s="149"/>
      <c r="G144" s="149"/>
      <c r="H144" s="149"/>
      <c r="I144" s="149"/>
      <c r="J144" s="150"/>
      <c r="K144" s="150"/>
    </row>
    <row r="145" spans="3:11" x14ac:dyDescent="0.25">
      <c r="C145" s="149"/>
      <c r="D145" s="149"/>
      <c r="E145" s="149"/>
      <c r="F145" s="149"/>
      <c r="G145" s="149"/>
      <c r="H145" s="149"/>
      <c r="I145" s="149"/>
      <c r="J145" s="150"/>
      <c r="K145" s="150"/>
    </row>
    <row r="146" spans="3:11" x14ac:dyDescent="0.25">
      <c r="C146" s="149"/>
      <c r="D146" s="149"/>
      <c r="E146" s="149"/>
      <c r="F146" s="149"/>
      <c r="G146" s="149"/>
      <c r="H146" s="149"/>
      <c r="I146" s="149"/>
      <c r="J146" s="150"/>
      <c r="K146" s="150"/>
    </row>
    <row r="147" spans="3:11" x14ac:dyDescent="0.25">
      <c r="C147" s="149"/>
      <c r="D147" s="149"/>
      <c r="E147" s="149"/>
      <c r="F147" s="149"/>
      <c r="G147" s="149"/>
      <c r="H147" s="149"/>
      <c r="I147" s="149"/>
      <c r="J147" s="150"/>
      <c r="K147" s="150"/>
    </row>
  </sheetData>
  <sheetProtection password="C74A" sheet="1" objects="1" scenarios="1"/>
  <protectedRanges>
    <protectedRange sqref="L51:N51 L53:N53 L55:N57 L61:N61 L63:N63 L65:N67 L71:N71 L73:N73 L75:N77 L81:N81 L83:N83 L85:N87 L91:N91 L93:N93 L95:N97" name="Intervalo3_3"/>
    <protectedRange sqref="G49:H49 G51:H51 G54:H56 G59:H59 G61:H61 G64:H66 G69:H69 G71:H71 G74:H76 G79:H79 G81:H81 G84:H86 G89:H89 G91:H91 G94:H96" name="Intervalo2_5"/>
    <protectedRange sqref="G14:H14 G16:H19 L16:N17 G23:H25 L19:N20" name="Intervalo1_2"/>
  </protectedRanges>
  <mergeCells count="92">
    <mergeCell ref="G98:I98"/>
    <mergeCell ref="G100:H100"/>
    <mergeCell ref="B88:C97"/>
    <mergeCell ref="D88:E97"/>
    <mergeCell ref="K88:N88"/>
    <mergeCell ref="K90:N90"/>
    <mergeCell ref="G93:H93"/>
    <mergeCell ref="G94:H94"/>
    <mergeCell ref="K94:N94"/>
    <mergeCell ref="G95:H95"/>
    <mergeCell ref="G96:H96"/>
    <mergeCell ref="G97:I97"/>
    <mergeCell ref="K74:N74"/>
    <mergeCell ref="G77:I77"/>
    <mergeCell ref="B78:C87"/>
    <mergeCell ref="D78:E87"/>
    <mergeCell ref="K78:N78"/>
    <mergeCell ref="K80:N80"/>
    <mergeCell ref="G83:H83"/>
    <mergeCell ref="K84:N84"/>
    <mergeCell ref="G87:I87"/>
    <mergeCell ref="G74:H74"/>
    <mergeCell ref="G75:H75"/>
    <mergeCell ref="G76:H76"/>
    <mergeCell ref="G84:H84"/>
    <mergeCell ref="G85:H85"/>
    <mergeCell ref="B68:C77"/>
    <mergeCell ref="D68:E77"/>
    <mergeCell ref="B58:C67"/>
    <mergeCell ref="D58:E67"/>
    <mergeCell ref="K58:N58"/>
    <mergeCell ref="K60:N60"/>
    <mergeCell ref="G63:H63"/>
    <mergeCell ref="K64:N64"/>
    <mergeCell ref="G67:I67"/>
    <mergeCell ref="K13:N13"/>
    <mergeCell ref="K15:N15"/>
    <mergeCell ref="B17:C17"/>
    <mergeCell ref="K18:N18"/>
    <mergeCell ref="B22:C22"/>
    <mergeCell ref="G25:H25"/>
    <mergeCell ref="G26:I26"/>
    <mergeCell ref="F46:F47"/>
    <mergeCell ref="G46:H47"/>
    <mergeCell ref="I46:I47"/>
    <mergeCell ref="B38:C38"/>
    <mergeCell ref="K68:N68"/>
    <mergeCell ref="K70:N70"/>
    <mergeCell ref="G54:H54"/>
    <mergeCell ref="G55:H55"/>
    <mergeCell ref="G56:H56"/>
    <mergeCell ref="G65:H65"/>
    <mergeCell ref="G66:H66"/>
    <mergeCell ref="G64:H64"/>
    <mergeCell ref="B48:C57"/>
    <mergeCell ref="D48:E57"/>
    <mergeCell ref="K48:N48"/>
    <mergeCell ref="K50:N50"/>
    <mergeCell ref="G53:H53"/>
    <mergeCell ref="K54:N54"/>
    <mergeCell ref="G57:I57"/>
    <mergeCell ref="G86:H86"/>
    <mergeCell ref="F45:G45"/>
    <mergeCell ref="B21:C21"/>
    <mergeCell ref="B19:C19"/>
    <mergeCell ref="B20:C20"/>
    <mergeCell ref="B39:C39"/>
    <mergeCell ref="B40:C40"/>
    <mergeCell ref="B41:C41"/>
    <mergeCell ref="D46:E47"/>
    <mergeCell ref="G73:H73"/>
    <mergeCell ref="B45:E45"/>
    <mergeCell ref="B46:C47"/>
    <mergeCell ref="B30:E30"/>
    <mergeCell ref="B31:C32"/>
    <mergeCell ref="D31:E31"/>
    <mergeCell ref="B36:C36"/>
    <mergeCell ref="B9:I9"/>
    <mergeCell ref="B4:D4"/>
    <mergeCell ref="G22:H22"/>
    <mergeCell ref="G23:H23"/>
    <mergeCell ref="G24:H24"/>
    <mergeCell ref="B11:E11"/>
    <mergeCell ref="F11:G11"/>
    <mergeCell ref="B12:C13"/>
    <mergeCell ref="D12:E12"/>
    <mergeCell ref="G12:H12"/>
    <mergeCell ref="B2:D2"/>
    <mergeCell ref="B3:D3"/>
    <mergeCell ref="B6:D6"/>
    <mergeCell ref="B5:D5"/>
    <mergeCell ref="B8:I8"/>
  </mergeCells>
  <conditionalFormatting sqref="H49">
    <cfRule type="expression" dxfId="67" priority="117">
      <formula>Q53</formula>
    </cfRule>
  </conditionalFormatting>
  <conditionalFormatting sqref="G49">
    <cfRule type="expression" dxfId="66" priority="118">
      <formula>Q51</formula>
    </cfRule>
  </conditionalFormatting>
  <conditionalFormatting sqref="P16">
    <cfRule type="cellIs" dxfId="65" priority="116" operator="equal">
      <formula>"Sim"</formula>
    </cfRule>
  </conditionalFormatting>
  <conditionalFormatting sqref="P17">
    <cfRule type="cellIs" dxfId="64" priority="115" operator="equal">
      <formula>"Sim"</formula>
    </cfRule>
  </conditionalFormatting>
  <conditionalFormatting sqref="P19:P20">
    <cfRule type="cellIs" dxfId="63" priority="114" operator="equal">
      <formula>"Sim"</formula>
    </cfRule>
  </conditionalFormatting>
  <conditionalFormatting sqref="P51">
    <cfRule type="cellIs" dxfId="62" priority="113" operator="equal">
      <formula>"Sim"</formula>
    </cfRule>
  </conditionalFormatting>
  <conditionalFormatting sqref="P53">
    <cfRule type="cellIs" dxfId="61" priority="112" operator="equal">
      <formula>"Sim"</formula>
    </cfRule>
  </conditionalFormatting>
  <conditionalFormatting sqref="P55">
    <cfRule type="cellIs" dxfId="60" priority="111" operator="equal">
      <formula>"Sim"</formula>
    </cfRule>
  </conditionalFormatting>
  <conditionalFormatting sqref="P56">
    <cfRule type="cellIs" dxfId="59" priority="110" operator="equal">
      <formula>"Sim"</formula>
    </cfRule>
  </conditionalFormatting>
  <conditionalFormatting sqref="N51 N53 N71 N61">
    <cfRule type="expression" dxfId="58" priority="119">
      <formula>AND(N51&lt;&gt;"",N51&lt;$B$43)</formula>
    </cfRule>
  </conditionalFormatting>
  <conditionalFormatting sqref="G14">
    <cfRule type="expression" dxfId="57" priority="120">
      <formula>AND(G14&lt;&gt;"",N16&lt;$B$43)</formula>
    </cfRule>
  </conditionalFormatting>
  <conditionalFormatting sqref="H14">
    <cfRule type="expression" dxfId="56" priority="121">
      <formula>AND(H14&lt;&gt;"",N17&lt;$B$43)</formula>
    </cfRule>
  </conditionalFormatting>
  <conditionalFormatting sqref="G51">
    <cfRule type="expression" dxfId="55" priority="108">
      <formula>Q55</formula>
    </cfRule>
  </conditionalFormatting>
  <conditionalFormatting sqref="H51">
    <cfRule type="expression" dxfId="54" priority="109">
      <formula>Q56</formula>
    </cfRule>
  </conditionalFormatting>
  <conditionalFormatting sqref="C14:C16">
    <cfRule type="expression" dxfId="53" priority="106">
      <formula>AND(C14&lt;&gt;"",C14&lt;$B$43)</formula>
    </cfRule>
  </conditionalFormatting>
  <conditionalFormatting sqref="C33:C35">
    <cfRule type="expression" dxfId="52" priority="98">
      <formula>AND(C33&lt;&gt;"",C33&lt;$B$43)</formula>
    </cfRule>
  </conditionalFormatting>
  <conditionalFormatting sqref="P61">
    <cfRule type="cellIs" dxfId="51" priority="97" operator="equal">
      <formula>"Sim"</formula>
    </cfRule>
  </conditionalFormatting>
  <conditionalFormatting sqref="P63">
    <cfRule type="cellIs" dxfId="50" priority="96" operator="equal">
      <formula>"Sim"</formula>
    </cfRule>
  </conditionalFormatting>
  <conditionalFormatting sqref="P65">
    <cfRule type="cellIs" dxfId="49" priority="95" operator="equal">
      <formula>"Sim"</formula>
    </cfRule>
  </conditionalFormatting>
  <conditionalFormatting sqref="P66">
    <cfRule type="cellIs" dxfId="48" priority="94" operator="equal">
      <formula>"Sim"</formula>
    </cfRule>
  </conditionalFormatting>
  <conditionalFormatting sqref="P71">
    <cfRule type="cellIs" dxfId="47" priority="93" operator="equal">
      <formula>"Sim"</formula>
    </cfRule>
  </conditionalFormatting>
  <conditionalFormatting sqref="P73">
    <cfRule type="cellIs" dxfId="46" priority="92" operator="equal">
      <formula>"Sim"</formula>
    </cfRule>
  </conditionalFormatting>
  <conditionalFormatting sqref="P75">
    <cfRule type="cellIs" dxfId="45" priority="91" operator="equal">
      <formula>"Sim"</formula>
    </cfRule>
  </conditionalFormatting>
  <conditionalFormatting sqref="P76">
    <cfRule type="cellIs" dxfId="44" priority="90" operator="equal">
      <formula>"Sim"</formula>
    </cfRule>
  </conditionalFormatting>
  <conditionalFormatting sqref="P81">
    <cfRule type="cellIs" dxfId="43" priority="89" operator="equal">
      <formula>"Sim"</formula>
    </cfRule>
  </conditionalFormatting>
  <conditionalFormatting sqref="P83">
    <cfRule type="cellIs" dxfId="42" priority="88" operator="equal">
      <formula>"Sim"</formula>
    </cfRule>
  </conditionalFormatting>
  <conditionalFormatting sqref="P85">
    <cfRule type="cellIs" dxfId="41" priority="87" operator="equal">
      <formula>"Sim"</formula>
    </cfRule>
  </conditionalFormatting>
  <conditionalFormatting sqref="P86">
    <cfRule type="cellIs" dxfId="40" priority="86" operator="equal">
      <formula>"Sim"</formula>
    </cfRule>
  </conditionalFormatting>
  <conditionalFormatting sqref="P91">
    <cfRule type="cellIs" dxfId="39" priority="85" operator="equal">
      <formula>"Sim"</formula>
    </cfRule>
  </conditionalFormatting>
  <conditionalFormatting sqref="P93">
    <cfRule type="cellIs" dxfId="38" priority="84" operator="equal">
      <formula>"Sim"</formula>
    </cfRule>
  </conditionalFormatting>
  <conditionalFormatting sqref="P95">
    <cfRule type="cellIs" dxfId="37" priority="83" operator="equal">
      <formula>"Sim"</formula>
    </cfRule>
  </conditionalFormatting>
  <conditionalFormatting sqref="P96">
    <cfRule type="cellIs" dxfId="36" priority="82" operator="equal">
      <formula>"Sim"</formula>
    </cfRule>
  </conditionalFormatting>
  <conditionalFormatting sqref="H59">
    <cfRule type="expression" dxfId="35" priority="76">
      <formula>Q63</formula>
    </cfRule>
  </conditionalFormatting>
  <conditionalFormatting sqref="G59">
    <cfRule type="expression" dxfId="34" priority="77">
      <formula>Q61</formula>
    </cfRule>
  </conditionalFormatting>
  <conditionalFormatting sqref="G61">
    <cfRule type="expression" dxfId="33" priority="74">
      <formula>Q65</formula>
    </cfRule>
  </conditionalFormatting>
  <conditionalFormatting sqref="H61">
    <cfRule type="expression" dxfId="32" priority="75">
      <formula>Q66</formula>
    </cfRule>
  </conditionalFormatting>
  <conditionalFormatting sqref="H69">
    <cfRule type="expression" dxfId="31" priority="72">
      <formula>Q73</formula>
    </cfRule>
  </conditionalFormatting>
  <conditionalFormatting sqref="G69">
    <cfRule type="expression" dxfId="30" priority="73">
      <formula>Q71</formula>
    </cfRule>
  </conditionalFormatting>
  <conditionalFormatting sqref="G71">
    <cfRule type="expression" dxfId="29" priority="70">
      <formula>Q75</formula>
    </cfRule>
  </conditionalFormatting>
  <conditionalFormatting sqref="H71">
    <cfRule type="expression" dxfId="28" priority="71">
      <formula>Q76</formula>
    </cfRule>
  </conditionalFormatting>
  <conditionalFormatting sqref="H79">
    <cfRule type="expression" dxfId="27" priority="68">
      <formula>Q83</formula>
    </cfRule>
  </conditionalFormatting>
  <conditionalFormatting sqref="G79">
    <cfRule type="expression" dxfId="26" priority="69">
      <formula>Q81</formula>
    </cfRule>
  </conditionalFormatting>
  <conditionalFormatting sqref="G81">
    <cfRule type="expression" dxfId="25" priority="66">
      <formula>Q85</formula>
    </cfRule>
  </conditionalFormatting>
  <conditionalFormatting sqref="H81">
    <cfRule type="expression" dxfId="24" priority="67">
      <formula>Q86</formula>
    </cfRule>
  </conditionalFormatting>
  <conditionalFormatting sqref="H89">
    <cfRule type="expression" dxfId="23" priority="64">
      <formula>Q93</formula>
    </cfRule>
  </conditionalFormatting>
  <conditionalFormatting sqref="G89">
    <cfRule type="expression" dxfId="22" priority="65">
      <formula>Q91</formula>
    </cfRule>
  </conditionalFormatting>
  <conditionalFormatting sqref="G91">
    <cfRule type="expression" dxfId="21" priority="62">
      <formula>Q95</formula>
    </cfRule>
  </conditionalFormatting>
  <conditionalFormatting sqref="H91">
    <cfRule type="expression" dxfId="20" priority="63">
      <formula>Q96</formula>
    </cfRule>
  </conditionalFormatting>
  <conditionalFormatting sqref="N91">
    <cfRule type="expression" dxfId="19" priority="47">
      <formula>AND(N91&lt;&gt;"",N91&lt;$B$43)</formula>
    </cfRule>
  </conditionalFormatting>
  <conditionalFormatting sqref="G16:G19">
    <cfRule type="expression" dxfId="18" priority="132">
      <formula>AND(G16&lt;&gt;"",$N$19&lt;$B$43)</formula>
    </cfRule>
  </conditionalFormatting>
  <conditionalFormatting sqref="H16:H19">
    <cfRule type="expression" dxfId="17" priority="133">
      <formula>AND(H16&lt;&gt;"",$N$20&lt;$B$43)</formula>
    </cfRule>
  </conditionalFormatting>
  <conditionalFormatting sqref="N16">
    <cfRule type="expression" dxfId="16" priority="38">
      <formula>AND(N16&lt;&gt;"",N16&lt;$B$43)</formula>
    </cfRule>
  </conditionalFormatting>
  <conditionalFormatting sqref="N17">
    <cfRule type="expression" dxfId="15" priority="37">
      <formula>AND(N17&lt;&gt;"",N17&lt;$B$43)</formula>
    </cfRule>
  </conditionalFormatting>
  <conditionalFormatting sqref="N73">
    <cfRule type="expression" dxfId="14" priority="33">
      <formula>AND(N73&lt;&gt;"",N73&lt;$B$43)</formula>
    </cfRule>
  </conditionalFormatting>
  <conditionalFormatting sqref="N87">
    <cfRule type="expression" dxfId="13" priority="26">
      <formula>AND(N87&lt;&gt;"",N87&lt;$B$43)</formula>
    </cfRule>
  </conditionalFormatting>
  <conditionalFormatting sqref="N97">
    <cfRule type="expression" dxfId="12" priority="23">
      <formula>AND(N97&lt;&gt;"",N97&lt;$B$43)</formula>
    </cfRule>
  </conditionalFormatting>
  <conditionalFormatting sqref="N20">
    <cfRule type="expression" dxfId="11" priority="21">
      <formula>AND(N20&lt;&gt;"",N20&lt;$B$43)</formula>
    </cfRule>
  </conditionalFormatting>
  <conditionalFormatting sqref="N63">
    <cfRule type="expression" dxfId="10" priority="17">
      <formula>AND(N63&lt;&gt;"",N63&lt;$B$43)</formula>
    </cfRule>
  </conditionalFormatting>
  <conditionalFormatting sqref="N83">
    <cfRule type="expression" dxfId="9" priority="14">
      <formula>AND(N83&lt;&gt;"",N83&lt;$B$43)</formula>
    </cfRule>
  </conditionalFormatting>
  <conditionalFormatting sqref="N55">
    <cfRule type="expression" dxfId="8" priority="10">
      <formula>AND(N55&lt;&gt;"",N55&lt;$B$43)</formula>
    </cfRule>
  </conditionalFormatting>
  <conditionalFormatting sqref="N56">
    <cfRule type="expression" dxfId="7" priority="8">
      <formula>AND(N56&lt;&gt;"",N56&lt;$B$43)</formula>
    </cfRule>
  </conditionalFormatting>
  <conditionalFormatting sqref="N65">
    <cfRule type="expression" dxfId="6" priority="7">
      <formula>AND(N65&lt;&gt;"",N65&lt;$B$43)</formula>
    </cfRule>
  </conditionalFormatting>
  <conditionalFormatting sqref="N66:N67">
    <cfRule type="expression" dxfId="5" priority="6">
      <formula>AND(N66&lt;&gt;"",N66&lt;$B$43)</formula>
    </cfRule>
  </conditionalFormatting>
  <conditionalFormatting sqref="N75">
    <cfRule type="expression" dxfId="4" priority="5">
      <formula>AND(N75&lt;&gt;"",N75&lt;$B$43)</formula>
    </cfRule>
  </conditionalFormatting>
  <conditionalFormatting sqref="N76">
    <cfRule type="expression" dxfId="3" priority="4">
      <formula>AND(N76&lt;&gt;"",N76&lt;$B$43)</formula>
    </cfRule>
  </conditionalFormatting>
  <conditionalFormatting sqref="N86">
    <cfRule type="expression" dxfId="2" priority="3">
      <formula>AND(N86&lt;&gt;"",N86&lt;$B$43)</formula>
    </cfRule>
  </conditionalFormatting>
  <conditionalFormatting sqref="N95">
    <cfRule type="expression" dxfId="1" priority="2">
      <formula>AND(N95&lt;&gt;"",N95&lt;$B$43)</formula>
    </cfRule>
  </conditionalFormatting>
  <conditionalFormatting sqref="N19">
    <cfRule type="expression" dxfId="0" priority="1">
      <formula>AND(N19&lt;&gt;"",N19&lt;$B$43)</formula>
    </cfRule>
  </conditionalFormatting>
  <pageMargins left="0.51181102362204722" right="0.51181102362204722" top="0.78740157480314965" bottom="0.78740157480314965" header="0.31496062992125984" footer="0.31496062992125984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tabSelected="1" workbookViewId="0">
      <selection activeCell="Q10" sqref="Q10"/>
    </sheetView>
  </sheetViews>
  <sheetFormatPr defaultRowHeight="15" x14ac:dyDescent="0.25"/>
  <cols>
    <col min="3" max="3" width="21" customWidth="1"/>
    <col min="10" max="10" width="14" bestFit="1" customWidth="1"/>
  </cols>
  <sheetData>
    <row r="2" spans="2:7" ht="15.75" x14ac:dyDescent="0.25">
      <c r="B2" s="250" t="s">
        <v>53</v>
      </c>
      <c r="C2" s="250"/>
      <c r="D2" s="250"/>
      <c r="E2" s="250"/>
      <c r="F2" s="250"/>
      <c r="G2" s="250"/>
    </row>
    <row r="3" spans="2:7" ht="15.75" x14ac:dyDescent="0.25">
      <c r="B3" s="250" t="str">
        <f>'PT1 A'!B10</f>
        <v>Engevix</v>
      </c>
      <c r="C3" s="250"/>
      <c r="D3" s="250"/>
      <c r="E3" s="250"/>
      <c r="F3" s="250"/>
      <c r="G3" s="250"/>
    </row>
    <row r="5" spans="2:7" ht="15.75" thickBot="1" x14ac:dyDescent="0.3"/>
    <row r="6" spans="2:7" ht="18.75" x14ac:dyDescent="0.3">
      <c r="B6" s="131" t="s">
        <v>47</v>
      </c>
      <c r="C6" s="132">
        <f>'PT1 A'!H32</f>
        <v>10</v>
      </c>
    </row>
    <row r="7" spans="2:7" ht="18.75" x14ac:dyDescent="0.3">
      <c r="B7" s="133" t="s">
        <v>46</v>
      </c>
      <c r="C7" s="134">
        <f>'PT1 B'!G43</f>
        <v>34</v>
      </c>
    </row>
    <row r="8" spans="2:7" ht="19.5" thickBot="1" x14ac:dyDescent="0.35">
      <c r="B8" s="135" t="s">
        <v>51</v>
      </c>
      <c r="C8" s="136">
        <f>'PT 2'!G100</f>
        <v>46.8</v>
      </c>
    </row>
    <row r="9" spans="2:7" ht="18.75" x14ac:dyDescent="0.3">
      <c r="B9" s="6"/>
      <c r="C9" s="6"/>
    </row>
    <row r="10" spans="2:7" ht="19.5" thickBot="1" x14ac:dyDescent="0.35">
      <c r="B10" s="6"/>
      <c r="C10" s="6"/>
    </row>
    <row r="11" spans="2:7" ht="19.5" thickBot="1" x14ac:dyDescent="0.35">
      <c r="B11" s="137" t="s">
        <v>52</v>
      </c>
      <c r="C11" s="138" t="str">
        <f>CONCATENATE(SUM(C6:C8), " pontos")</f>
        <v>90,8 pontos</v>
      </c>
    </row>
  </sheetData>
  <sheetProtection password="C74A" sheet="1" objects="1" scenarios="1"/>
  <mergeCells count="2">
    <mergeCell ref="B2:G2"/>
    <mergeCell ref="B3:G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PT1 A</vt:lpstr>
      <vt:lpstr>PT1 B</vt:lpstr>
      <vt:lpstr>PT 2</vt:lpstr>
      <vt:lpstr>Nt</vt:lpstr>
      <vt:lpstr>Nt!Area_de_impressao</vt:lpstr>
      <vt:lpstr>'PT1 A'!Area_de_impressao</vt:lpstr>
      <vt:lpstr>'PT1 B'!Area_de_impressao</vt:lpstr>
      <vt:lpstr>'PT1 A'!Titulos_de_impressao</vt:lpstr>
      <vt:lpstr>'PT1 B'!Titulos_de_impressao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Claudir Afonso Costa</dc:creator>
  <cp:lastModifiedBy>Rafael Ribeiro Silveira</cp:lastModifiedBy>
  <cp:lastPrinted>2014-12-23T17:53:47Z</cp:lastPrinted>
  <dcterms:created xsi:type="dcterms:W3CDTF">2014-12-11T12:13:55Z</dcterms:created>
  <dcterms:modified xsi:type="dcterms:W3CDTF">2016-10-25T16:17:50Z</dcterms:modified>
</cp:coreProperties>
</file>