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EstaPastaDeTrabalho" defaultThemeVersion="124226"/>
  <mc:AlternateContent xmlns:mc="http://schemas.openxmlformats.org/markup-compatibility/2006">
    <mc:Choice Requires="x15">
      <x15ac:absPath xmlns:x15ac="http://schemas.microsoft.com/office/spreadsheetml/2010/11/ac" url="D:\Users\regina.garcia\Desktop\"/>
    </mc:Choice>
  </mc:AlternateContent>
  <xr:revisionPtr revIDLastSave="0" documentId="8_{6392DE6F-9305-494F-89F8-BAF42039BEB0}" xr6:coauthVersionLast="43" xr6:coauthVersionMax="43" xr10:uidLastSave="{00000000-0000-0000-0000-000000000000}"/>
  <bookViews>
    <workbookView xWindow="22932" yWindow="-108" windowWidth="23256" windowHeight="12576" tabRatio="876" xr2:uid="{00000000-000D-0000-FFFF-FFFF00000000}"/>
  </bookViews>
  <sheets>
    <sheet name="ORIENTAÇÕES" sheetId="12" r:id="rId1"/>
    <sheet name="Uniformes" sheetId="6" r:id="rId2"/>
    <sheet name="Equipamentos" sheetId="28" r:id="rId3"/>
    <sheet name="Materiais" sheetId="25" r:id="rId4"/>
    <sheet name="Produtividade" sheetId="33" r:id="rId5"/>
    <sheet name="Salário-Encargos-Benefícios" sheetId="11" r:id="rId6"/>
    <sheet name="Encarregado" sheetId="1" r:id="rId7"/>
    <sheet name="Servente" sheetId="23" r:id="rId8"/>
    <sheet name="Jauzeiro" sheetId="24" r:id="rId9"/>
  </sheets>
  <definedNames>
    <definedName name="_xlnm._FilterDatabase" localSheetId="3" hidden="1">Materiais!$A$2:$K$56</definedName>
    <definedName name="_xlnm.Print_Area" localSheetId="6">Encarregado!$A$1:$F$122</definedName>
    <definedName name="_xlnm.Print_Area" localSheetId="2">Equipamentos!$A$1:$J$30</definedName>
    <definedName name="_xlnm.Print_Area" localSheetId="8">Jauzeiro!$A$1:$F$121</definedName>
    <definedName name="_xlnm.Print_Area" localSheetId="0">ORIENTAÇÕES!$B$1:$N$10</definedName>
    <definedName name="_xlnm.Print_Area" localSheetId="4">Produtividade!$A$1:$K$34</definedName>
    <definedName name="_xlnm.Print_Area" localSheetId="5">'Salário-Encargos-Benefícios'!$A$1:$D$58</definedName>
    <definedName name="_xlnm.Print_Area" localSheetId="7">Servente!$A$1:$F$122</definedName>
    <definedName name="_xlnm.Print_Area" localSheetId="1">Uniformes!$A$2:$G$23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0" i="25" l="1"/>
  <c r="J27" i="28"/>
  <c r="D100" i="24" l="1"/>
  <c r="D99" i="24"/>
  <c r="D100" i="23"/>
  <c r="D99" i="23"/>
  <c r="E91" i="24" l="1"/>
  <c r="I26" i="33" l="1"/>
  <c r="I27" i="33"/>
  <c r="C37" i="11" l="1"/>
  <c r="C40" i="11"/>
  <c r="K23" i="25"/>
  <c r="H32" i="25"/>
  <c r="I32" i="25" s="1"/>
  <c r="K32" i="25" s="1"/>
  <c r="H33" i="25"/>
  <c r="I33" i="25" s="1"/>
  <c r="K33" i="25" s="1"/>
  <c r="C41" i="11"/>
  <c r="C39" i="11"/>
  <c r="I32" i="33" l="1"/>
  <c r="I31" i="33"/>
  <c r="F11" i="33" l="1"/>
  <c r="H4" i="25" l="1"/>
  <c r="I4" i="25" s="1"/>
  <c r="K4" i="25" s="1"/>
  <c r="H5" i="25"/>
  <c r="I5" i="25" s="1"/>
  <c r="K5" i="25" s="1"/>
  <c r="H6" i="25"/>
  <c r="I6" i="25" s="1"/>
  <c r="K6" i="25" s="1"/>
  <c r="H7" i="25"/>
  <c r="I7" i="25" s="1"/>
  <c r="K7" i="25" s="1"/>
  <c r="H8" i="25"/>
  <c r="I8" i="25" s="1"/>
  <c r="K8" i="25" s="1"/>
  <c r="H9" i="25"/>
  <c r="I9" i="25" s="1"/>
  <c r="K9" i="25" s="1"/>
  <c r="H10" i="25"/>
  <c r="I10" i="25" s="1"/>
  <c r="K10" i="25" s="1"/>
  <c r="H11" i="25"/>
  <c r="I11" i="25" s="1"/>
  <c r="K11" i="25" s="1"/>
  <c r="H12" i="25"/>
  <c r="I12" i="25" s="1"/>
  <c r="K12" i="25" s="1"/>
  <c r="H13" i="25"/>
  <c r="I13" i="25" s="1"/>
  <c r="K13" i="25" s="1"/>
  <c r="H14" i="25"/>
  <c r="I14" i="25" s="1"/>
  <c r="K14" i="25" s="1"/>
  <c r="H15" i="25"/>
  <c r="I15" i="25" s="1"/>
  <c r="K15" i="25" s="1"/>
  <c r="H16" i="25"/>
  <c r="I16" i="25" s="1"/>
  <c r="K16" i="25" s="1"/>
  <c r="H17" i="25"/>
  <c r="I17" i="25" s="1"/>
  <c r="K17" i="25" s="1"/>
  <c r="H18" i="25"/>
  <c r="I18" i="25" s="1"/>
  <c r="K18" i="25" s="1"/>
  <c r="H19" i="25"/>
  <c r="I19" i="25" s="1"/>
  <c r="K19" i="25" s="1"/>
  <c r="H20" i="25"/>
  <c r="I20" i="25" s="1"/>
  <c r="K20" i="25" s="1"/>
  <c r="H21" i="25"/>
  <c r="I21" i="25" s="1"/>
  <c r="K21" i="25" s="1"/>
  <c r="H22" i="25"/>
  <c r="I22" i="25" s="1"/>
  <c r="K22" i="25" s="1"/>
  <c r="H23" i="25"/>
  <c r="H24" i="25"/>
  <c r="I24" i="25" s="1"/>
  <c r="K24" i="25" s="1"/>
  <c r="H25" i="25"/>
  <c r="I25" i="25" s="1"/>
  <c r="K25" i="25" s="1"/>
  <c r="H26" i="25"/>
  <c r="I26" i="25" s="1"/>
  <c r="K26" i="25" s="1"/>
  <c r="H27" i="25"/>
  <c r="I27" i="25" s="1"/>
  <c r="K27" i="25" s="1"/>
  <c r="H28" i="25"/>
  <c r="I28" i="25" s="1"/>
  <c r="K28" i="25" s="1"/>
  <c r="H29" i="25"/>
  <c r="I29" i="25" s="1"/>
  <c r="K29" i="25" s="1"/>
  <c r="H30" i="25"/>
  <c r="I30" i="25" s="1"/>
  <c r="K30" i="25" s="1"/>
  <c r="H31" i="25"/>
  <c r="I31" i="25" s="1"/>
  <c r="K31" i="25" s="1"/>
  <c r="H34" i="25"/>
  <c r="I34" i="25" s="1"/>
  <c r="K34" i="25" s="1"/>
  <c r="H35" i="25"/>
  <c r="I35" i="25" s="1"/>
  <c r="K35" i="25" s="1"/>
  <c r="H36" i="25"/>
  <c r="I36" i="25" s="1"/>
  <c r="K36" i="25" s="1"/>
  <c r="H37" i="25"/>
  <c r="I37" i="25" s="1"/>
  <c r="K37" i="25" s="1"/>
  <c r="H38" i="25"/>
  <c r="I38" i="25" s="1"/>
  <c r="K38" i="25" s="1"/>
  <c r="H39" i="25"/>
  <c r="I39" i="25" s="1"/>
  <c r="K39" i="25" s="1"/>
  <c r="H40" i="25"/>
  <c r="I40" i="25" s="1"/>
  <c r="K40" i="25" s="1"/>
  <c r="H41" i="25"/>
  <c r="I41" i="25" s="1"/>
  <c r="K41" i="25" s="1"/>
  <c r="H42" i="25"/>
  <c r="I42" i="25" s="1"/>
  <c r="K42" i="25" s="1"/>
  <c r="H43" i="25"/>
  <c r="I43" i="25" s="1"/>
  <c r="K43" i="25" s="1"/>
  <c r="H44" i="25"/>
  <c r="I44" i="25" s="1"/>
  <c r="K44" i="25" s="1"/>
  <c r="H45" i="25"/>
  <c r="I45" i="25" s="1"/>
  <c r="K45" i="25" s="1"/>
  <c r="H46" i="25"/>
  <c r="I46" i="25" s="1"/>
  <c r="K46" i="25" s="1"/>
  <c r="H47" i="25"/>
  <c r="I47" i="25" s="1"/>
  <c r="K47" i="25" s="1"/>
  <c r="H48" i="25"/>
  <c r="I48" i="25" s="1"/>
  <c r="K48" i="25" s="1"/>
  <c r="H49" i="25"/>
  <c r="I49" i="25" s="1"/>
  <c r="K49" i="25" s="1"/>
  <c r="H50" i="25"/>
  <c r="I50" i="25" s="1"/>
  <c r="K50" i="25" s="1"/>
  <c r="H51" i="25"/>
  <c r="I51" i="25" s="1"/>
  <c r="K51" i="25" s="1"/>
  <c r="H52" i="25"/>
  <c r="I52" i="25" s="1"/>
  <c r="K52" i="25" s="1"/>
  <c r="H53" i="25"/>
  <c r="I53" i="25" s="1"/>
  <c r="K53" i="25" s="1"/>
  <c r="H54" i="25"/>
  <c r="I54" i="25" s="1"/>
  <c r="K54" i="25" s="1"/>
  <c r="H55" i="25"/>
  <c r="I55" i="25" s="1"/>
  <c r="K55" i="25" s="1"/>
  <c r="H56" i="25"/>
  <c r="I56" i="25" s="1"/>
  <c r="K56" i="25" s="1"/>
  <c r="H3" i="25"/>
  <c r="I3" i="25" s="1"/>
  <c r="K3" i="25" s="1"/>
  <c r="H4" i="28"/>
  <c r="H5" i="28"/>
  <c r="H6" i="28"/>
  <c r="H7" i="28"/>
  <c r="H8" i="28"/>
  <c r="H9" i="28"/>
  <c r="H10" i="28"/>
  <c r="H11" i="28"/>
  <c r="H12" i="28"/>
  <c r="H13" i="28"/>
  <c r="H14" i="28"/>
  <c r="H15" i="28"/>
  <c r="H16" i="28"/>
  <c r="H17" i="28"/>
  <c r="H18" i="28"/>
  <c r="H19" i="28"/>
  <c r="H20" i="28"/>
  <c r="H21" i="28"/>
  <c r="H22" i="28"/>
  <c r="H23" i="28"/>
  <c r="H3" i="28"/>
  <c r="C14" i="11" l="1"/>
  <c r="E91" i="23" l="1"/>
  <c r="E50" i="1"/>
  <c r="E48" i="1"/>
  <c r="C38" i="11"/>
  <c r="C13" i="11"/>
  <c r="C30" i="11"/>
  <c r="C27" i="11" l="1"/>
  <c r="J23" i="28" l="1"/>
  <c r="J4" i="28"/>
  <c r="J5" i="28"/>
  <c r="J6" i="28"/>
  <c r="J7" i="28"/>
  <c r="J8" i="28"/>
  <c r="J9" i="28"/>
  <c r="J12" i="28"/>
  <c r="J13" i="28"/>
  <c r="J14" i="28"/>
  <c r="J15" i="28"/>
  <c r="J11" i="28"/>
  <c r="J10" i="28"/>
  <c r="J20" i="28"/>
  <c r="J16" i="28"/>
  <c r="J17" i="28"/>
  <c r="J18" i="28"/>
  <c r="J19" i="28"/>
  <c r="J21" i="28"/>
  <c r="J22" i="28"/>
  <c r="J3" i="28"/>
  <c r="J25" i="28" l="1"/>
  <c r="F20" i="6" l="1"/>
  <c r="F19" i="6"/>
  <c r="F18" i="6"/>
  <c r="F17" i="6"/>
  <c r="F16" i="6"/>
  <c r="F9" i="6"/>
  <c r="F8" i="6"/>
  <c r="F7" i="6"/>
  <c r="F6" i="6"/>
  <c r="J26" i="28" l="1"/>
  <c r="E92" i="23" s="1"/>
  <c r="B1" i="24"/>
  <c r="B1" i="23"/>
  <c r="D15" i="23"/>
  <c r="K58" i="25" l="1"/>
  <c r="K59" i="25" s="1"/>
  <c r="F21" i="6"/>
  <c r="F22" i="6" s="1"/>
  <c r="F10" i="6"/>
  <c r="F11" i="6" s="1"/>
  <c r="E92" i="1" s="1"/>
  <c r="E93" i="23" l="1"/>
  <c r="D15" i="24"/>
  <c r="D15" i="1"/>
  <c r="E87" i="24" l="1"/>
  <c r="E49" i="24"/>
  <c r="E87" i="23"/>
  <c r="E88" i="1"/>
  <c r="E24" i="24"/>
  <c r="E24" i="23"/>
  <c r="D44" i="23"/>
  <c r="D43" i="23"/>
  <c r="D42" i="23"/>
  <c r="D41" i="23"/>
  <c r="D40" i="23"/>
  <c r="D39" i="23"/>
  <c r="D38" i="23"/>
  <c r="D37" i="23"/>
  <c r="C42" i="11"/>
  <c r="E49" i="23"/>
  <c r="E53" i="1"/>
  <c r="E51" i="1"/>
  <c r="E26" i="24"/>
  <c r="E26" i="23"/>
  <c r="D38" i="24"/>
  <c r="D38" i="1"/>
  <c r="C28" i="11"/>
  <c r="D17" i="24"/>
  <c r="E22" i="24" s="1"/>
  <c r="E52" i="23"/>
  <c r="D17" i="23"/>
  <c r="E22" i="23" s="1"/>
  <c r="D108" i="24"/>
  <c r="E53" i="24"/>
  <c r="E52" i="24"/>
  <c r="E51" i="24"/>
  <c r="E50" i="24"/>
  <c r="D44" i="24"/>
  <c r="D43" i="24"/>
  <c r="D42" i="24"/>
  <c r="D41" i="24"/>
  <c r="D40" i="24"/>
  <c r="D39" i="24"/>
  <c r="D37" i="24"/>
  <c r="D32" i="24"/>
  <c r="D31" i="24"/>
  <c r="D28" i="24"/>
  <c r="D108" i="23"/>
  <c r="E53" i="23"/>
  <c r="E51" i="23"/>
  <c r="E50" i="23"/>
  <c r="D32" i="23"/>
  <c r="D31" i="23"/>
  <c r="D28" i="23"/>
  <c r="D109" i="1"/>
  <c r="D32" i="1"/>
  <c r="D31" i="1"/>
  <c r="D17" i="1"/>
  <c r="E54" i="1"/>
  <c r="E52" i="1"/>
  <c r="C25" i="11"/>
  <c r="D39" i="1"/>
  <c r="D37" i="1"/>
  <c r="D40" i="1"/>
  <c r="D41" i="1"/>
  <c r="D42" i="1"/>
  <c r="D43" i="1"/>
  <c r="D44" i="1"/>
  <c r="D28" i="1"/>
  <c r="E95" i="24"/>
  <c r="E116" i="24" s="1"/>
  <c r="E95" i="23"/>
  <c r="E116" i="23" s="1"/>
  <c r="E96" i="1"/>
  <c r="E117" i="1" s="1"/>
  <c r="C15" i="11" l="1"/>
  <c r="C44" i="11" s="1"/>
  <c r="C31" i="11"/>
  <c r="C33" i="11" s="1"/>
  <c r="E22" i="1"/>
  <c r="E28" i="1" s="1"/>
  <c r="E65" i="1" s="1"/>
  <c r="E49" i="1"/>
  <c r="E55" i="1" s="1"/>
  <c r="E60" i="1" s="1"/>
  <c r="E23" i="24"/>
  <c r="E28" i="24" s="1"/>
  <c r="E48" i="24"/>
  <c r="E54" i="24" s="1"/>
  <c r="E59" i="24" s="1"/>
  <c r="E48" i="23"/>
  <c r="E54" i="23" s="1"/>
  <c r="E59" i="23" s="1"/>
  <c r="E23" i="23"/>
  <c r="E28" i="23" s="1"/>
  <c r="D45" i="1"/>
  <c r="D33" i="1" s="1"/>
  <c r="D34" i="1" s="1"/>
  <c r="D45" i="23"/>
  <c r="D45" i="24"/>
  <c r="E112" i="24" l="1"/>
  <c r="E43" i="24"/>
  <c r="E42" i="24"/>
  <c r="E78" i="24"/>
  <c r="E75" i="24"/>
  <c r="E39" i="24"/>
  <c r="E31" i="24"/>
  <c r="E69" i="24"/>
  <c r="E67" i="24"/>
  <c r="E77" i="24"/>
  <c r="E76" i="24"/>
  <c r="E37" i="24"/>
  <c r="E40" i="24"/>
  <c r="E41" i="24"/>
  <c r="E38" i="24"/>
  <c r="E64" i="24"/>
  <c r="E74" i="24"/>
  <c r="E32" i="24"/>
  <c r="E44" i="24"/>
  <c r="E66" i="24"/>
  <c r="E65" i="24"/>
  <c r="E68" i="24"/>
  <c r="E41" i="23"/>
  <c r="E67" i="23"/>
  <c r="E40" i="23"/>
  <c r="E74" i="23"/>
  <c r="E44" i="23"/>
  <c r="E77" i="23"/>
  <c r="E43" i="23"/>
  <c r="E42" i="23"/>
  <c r="E78" i="23"/>
  <c r="E66" i="23"/>
  <c r="E112" i="23"/>
  <c r="E38" i="23"/>
  <c r="E32" i="23"/>
  <c r="E39" i="23"/>
  <c r="E76" i="23"/>
  <c r="E31" i="23"/>
  <c r="E64" i="23"/>
  <c r="E37" i="23"/>
  <c r="E75" i="23"/>
  <c r="E69" i="23"/>
  <c r="E65" i="23"/>
  <c r="E68" i="23"/>
  <c r="E44" i="1"/>
  <c r="E42" i="1"/>
  <c r="E66" i="1"/>
  <c r="E39" i="1"/>
  <c r="E32" i="1"/>
  <c r="E77" i="1"/>
  <c r="E75" i="1"/>
  <c r="E70" i="1"/>
  <c r="E68" i="1"/>
  <c r="E76" i="1"/>
  <c r="E113" i="1"/>
  <c r="E31" i="1"/>
  <c r="E79" i="1"/>
  <c r="E41" i="1"/>
  <c r="E37" i="1"/>
  <c r="E67" i="1"/>
  <c r="E43" i="1"/>
  <c r="E38" i="1"/>
  <c r="E78" i="1"/>
  <c r="E40" i="1"/>
  <c r="E69" i="1"/>
  <c r="D33" i="23"/>
  <c r="D34" i="23" s="1"/>
  <c r="D33" i="24"/>
  <c r="D34" i="24" s="1"/>
  <c r="E33" i="1" l="1"/>
  <c r="E34" i="1" s="1"/>
  <c r="E58" i="1" s="1"/>
  <c r="E33" i="24"/>
  <c r="E34" i="24" s="1"/>
  <c r="E57" i="24" s="1"/>
  <c r="E33" i="23"/>
  <c r="E34" i="23" s="1"/>
  <c r="E57" i="23" s="1"/>
  <c r="E79" i="24"/>
  <c r="E80" i="24" s="1"/>
  <c r="E86" i="24" s="1"/>
  <c r="E88" i="24" s="1"/>
  <c r="E115" i="24" s="1"/>
  <c r="E45" i="1"/>
  <c r="E59" i="1" s="1"/>
  <c r="E80" i="1"/>
  <c r="E81" i="1" s="1"/>
  <c r="E87" i="1" s="1"/>
  <c r="E89" i="1" s="1"/>
  <c r="E116" i="1" s="1"/>
  <c r="E70" i="24"/>
  <c r="E114" i="24" s="1"/>
  <c r="E45" i="24"/>
  <c r="E58" i="24" s="1"/>
  <c r="E70" i="23"/>
  <c r="E114" i="23" s="1"/>
  <c r="E79" i="23"/>
  <c r="E80" i="23" s="1"/>
  <c r="E86" i="23" s="1"/>
  <c r="E88" i="23" s="1"/>
  <c r="E115" i="23" s="1"/>
  <c r="E45" i="23"/>
  <c r="E58" i="23" s="1"/>
  <c r="E71" i="1"/>
  <c r="E115" i="1" s="1"/>
  <c r="E60" i="24" l="1"/>
  <c r="E113" i="24" s="1"/>
  <c r="E117" i="24" s="1"/>
  <c r="E99" i="24" s="1"/>
  <c r="E100" i="24" s="1"/>
  <c r="E119" i="24" s="1"/>
  <c r="E61" i="1"/>
  <c r="E114" i="1" s="1"/>
  <c r="E118" i="1" s="1"/>
  <c r="E100" i="1" s="1"/>
  <c r="E60" i="23"/>
  <c r="E113" i="23" s="1"/>
  <c r="E117" i="23" s="1"/>
  <c r="E99" i="23" s="1"/>
  <c r="E100" i="23" s="1"/>
  <c r="E101" i="1" l="1"/>
  <c r="E120" i="1" s="1"/>
  <c r="J32" i="33"/>
  <c r="K32" i="33" s="1"/>
  <c r="D115" i="24"/>
  <c r="D113" i="24"/>
  <c r="D114" i="24"/>
  <c r="E103" i="24"/>
  <c r="D116" i="24"/>
  <c r="E104" i="24"/>
  <c r="D112" i="24"/>
  <c r="E106" i="24"/>
  <c r="E119" i="23"/>
  <c r="D114" i="1" l="1"/>
  <c r="E107" i="1"/>
  <c r="D117" i="1"/>
  <c r="E104" i="1"/>
  <c r="D115" i="1"/>
  <c r="D116" i="1"/>
  <c r="D113" i="1"/>
  <c r="G16" i="33"/>
  <c r="H16" i="33" s="1"/>
  <c r="E105" i="1"/>
  <c r="G17" i="33"/>
  <c r="H17" i="33" s="1"/>
  <c r="D113" i="23"/>
  <c r="E108" i="24"/>
  <c r="E118" i="24" s="1"/>
  <c r="D118" i="24" s="1"/>
  <c r="D114" i="23"/>
  <c r="D116" i="23"/>
  <c r="E103" i="23"/>
  <c r="D115" i="23"/>
  <c r="E104" i="23"/>
  <c r="E106" i="23"/>
  <c r="D112" i="23"/>
  <c r="G21" i="33" l="1"/>
  <c r="H21" i="33" s="1"/>
  <c r="J26" i="33"/>
  <c r="K26" i="33" s="1"/>
  <c r="E109" i="1"/>
  <c r="E119" i="1" s="1"/>
  <c r="D119" i="1" s="1"/>
  <c r="J31" i="33"/>
  <c r="K31" i="33" s="1"/>
  <c r="K33" i="33" s="1"/>
  <c r="E6" i="33" s="1"/>
  <c r="G6" i="33" s="1"/>
  <c r="H6" i="33" s="1"/>
  <c r="J27" i="33"/>
  <c r="K27" i="33" s="1"/>
  <c r="H18" i="33"/>
  <c r="G22" i="33"/>
  <c r="H22" i="33" s="1"/>
  <c r="E108" i="23"/>
  <c r="E118" i="23" s="1"/>
  <c r="D118" i="23" s="1"/>
  <c r="E10" i="33" l="1"/>
  <c r="G10" i="33" s="1"/>
  <c r="H10" i="33" s="1"/>
  <c r="E7" i="33"/>
  <c r="G7" i="33" s="1"/>
  <c r="H7" i="33" s="1"/>
  <c r="K28" i="33"/>
  <c r="E9" i="33" s="1"/>
  <c r="G9" i="33" s="1"/>
  <c r="H9" i="33" s="1"/>
  <c r="H23" i="33"/>
  <c r="E8" i="33" s="1"/>
  <c r="G8" i="33" s="1"/>
  <c r="H8" i="33" s="1"/>
  <c r="E4" i="33"/>
  <c r="G4" i="33" s="1"/>
  <c r="E5" i="33" l="1"/>
  <c r="G5" i="33" s="1"/>
  <c r="H5" i="33" s="1"/>
  <c r="H4" i="33"/>
  <c r="H11" i="33" l="1"/>
  <c r="G11"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Fernandes Emery</author>
  </authors>
  <commentList>
    <comment ref="J32" authorId="0" shapeId="0" xr:uid="{A27C9ABA-7783-43AE-8D47-48A9B401B268}">
      <text>
        <r>
          <rPr>
            <b/>
            <sz val="9"/>
            <color indexed="81"/>
            <rFont val="Segoe UI"/>
            <family val="2"/>
          </rPr>
          <t>Gustavo Fernandes Emery:</t>
        </r>
        <r>
          <rPr>
            <sz val="9"/>
            <color indexed="81"/>
            <rFont val="Segoe UI"/>
            <family val="2"/>
          </rPr>
          <t xml:space="preserve">
Jauzeiro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SAMSUNG</author>
  </authors>
  <commentList>
    <comment ref="C28" authorId="0" shapeId="0" xr:uid="{00000000-0006-0000-0400-000003000000}">
      <text>
        <r>
          <rPr>
            <b/>
            <sz val="9"/>
            <color indexed="81"/>
            <rFont val="Segoe UI"/>
            <family val="2"/>
          </rPr>
          <t>Atenção:</t>
        </r>
        <r>
          <rPr>
            <sz val="9"/>
            <color indexed="81"/>
            <rFont val="Segoe UI"/>
            <family val="2"/>
          </rPr>
          <t xml:space="preserve">
Formular já adaptada para o cálculo. Não preencher.</t>
        </r>
      </text>
    </comment>
    <comment ref="C31" authorId="0" shapeId="0" xr:uid="{00000000-0006-0000-0400-000004000000}">
      <text>
        <r>
          <rPr>
            <b/>
            <sz val="9"/>
            <color indexed="81"/>
            <rFont val="Segoe UI"/>
            <family val="2"/>
          </rPr>
          <t>Atenção</t>
        </r>
        <r>
          <rPr>
            <sz val="9"/>
            <color indexed="81"/>
            <rFont val="Segoe UI"/>
            <family val="2"/>
          </rPr>
          <t xml:space="preserve">
Formular já adaptada para o cálculo. Não preencher.</t>
        </r>
      </text>
    </comment>
  </commentList>
</comments>
</file>

<file path=xl/sharedStrings.xml><?xml version="1.0" encoding="utf-8"?>
<sst xmlns="http://schemas.openxmlformats.org/spreadsheetml/2006/main" count="1083" uniqueCount="407">
  <si>
    <t>Dados complementares para composição dos custos referente à mão-de-obra</t>
  </si>
  <si>
    <t>Tipo de serviço (mesmo serviço com características distintas)</t>
  </si>
  <si>
    <t>Salário Normativo da Categoria Profissional</t>
  </si>
  <si>
    <t>Data base da categoria (dia/mês/ano)</t>
  </si>
  <si>
    <t>Composição da Remuneração</t>
  </si>
  <si>
    <t>Valor (R$)</t>
  </si>
  <si>
    <t>A</t>
  </si>
  <si>
    <t>B</t>
  </si>
  <si>
    <t>Adicional  de periculosidade</t>
  </si>
  <si>
    <t>C</t>
  </si>
  <si>
    <t>D</t>
  </si>
  <si>
    <t>E</t>
  </si>
  <si>
    <t>Hora noturna adicional</t>
  </si>
  <si>
    <t>F</t>
  </si>
  <si>
    <t>G</t>
  </si>
  <si>
    <t>H</t>
  </si>
  <si>
    <t>Outros (especificar)</t>
  </si>
  <si>
    <t>Insumos Diversos</t>
  </si>
  <si>
    <t>Uniformes</t>
  </si>
  <si>
    <t>4.1</t>
  </si>
  <si>
    <t>%</t>
  </si>
  <si>
    <t>4.2</t>
  </si>
  <si>
    <t>Aviso prévio indenizado</t>
  </si>
  <si>
    <t xml:space="preserve">Aviso prévio trabalhado  </t>
  </si>
  <si>
    <t>Custos Indiretos, Tributos e Lucro</t>
  </si>
  <si>
    <t>Custos Indiretos</t>
  </si>
  <si>
    <t>Tributos</t>
  </si>
  <si>
    <t>Lucro</t>
  </si>
  <si>
    <t>T            O            T            A            L</t>
  </si>
  <si>
    <t>PLANILHA DE CUSTOS E FORMAÇÃO DE PREÇOS</t>
  </si>
  <si>
    <t>LICITAÇÃO Nº:</t>
  </si>
  <si>
    <t>Data de apresentação da proposta (dia/mês/ano)</t>
  </si>
  <si>
    <t>Município/UF:</t>
  </si>
  <si>
    <t>Ano Acordo, Convenção ou Sentença Normativa em Dissídio</t>
  </si>
  <si>
    <t>BRASÍLIA</t>
  </si>
  <si>
    <t>T       O       T       A       L</t>
  </si>
  <si>
    <t xml:space="preserve">INSS </t>
  </si>
  <si>
    <t>INCRA</t>
  </si>
  <si>
    <t>SEBRAE</t>
  </si>
  <si>
    <t>Unidade de Medida</t>
  </si>
  <si>
    <t>Quantidade Total à Contratar (em função da unidade de medida)</t>
  </si>
  <si>
    <t>Provisão Para Rescisão</t>
  </si>
  <si>
    <t>Afastamento Maternidade</t>
  </si>
  <si>
    <t>12 Meses</t>
  </si>
  <si>
    <t xml:space="preserve">       T          O          T          A          L</t>
  </si>
  <si>
    <t xml:space="preserve">Salário Base                                                                         </t>
  </si>
  <si>
    <t xml:space="preserve">                                                   IDENTIFICAÇÃO DOS SERVIÇOS </t>
  </si>
  <si>
    <t>Sapato</t>
  </si>
  <si>
    <t>Classificação Brasileira de Ocupações</t>
  </si>
  <si>
    <t>Categoria Profissional (vinculada à execução contratual)</t>
  </si>
  <si>
    <t>Adicional Noturno</t>
  </si>
  <si>
    <t>MÓDULO 2: ENCARGOS E BENEFÍCIOS ANUAIS, MENSAIS E DIÁRIOS</t>
  </si>
  <si>
    <t>2.1</t>
  </si>
  <si>
    <t>13º (décimo terceiro) Salário</t>
  </si>
  <si>
    <t>2.2</t>
  </si>
  <si>
    <t> Encargos Previdenciários (GPS), Fundo de Garantia por Tempo de Serviço (FGTS) e outras contribuições.</t>
  </si>
  <si>
    <t>SAT</t>
  </si>
  <si>
    <t>SESC ou SESI</t>
  </si>
  <si>
    <t>SENAI - SENAC</t>
  </si>
  <si>
    <t>FGTS</t>
  </si>
  <si>
    <t>2.3</t>
  </si>
  <si>
    <t>Benefícios Mensais e Diários</t>
  </si>
  <si>
    <t>Quadro Resumo do Módulo 2 - Encargos e Benefícios anuais, mensais e diários</t>
  </si>
  <si>
    <t>GPS, FGTS e outras contribuições</t>
  </si>
  <si>
    <t>Incidência do FGTS sobre aviso prévio indenizado</t>
  </si>
  <si>
    <t>Multa do FGTS e Contribuição Social sobre do aviso prévio indenizado</t>
  </si>
  <si>
    <t>Incidência dos encargos do submódulo 2.2 sobre aviso prévio trabalhado</t>
  </si>
  <si>
    <t>Multa do FGTS e contribuição social sobre o aviso prévio trabalhado</t>
  </si>
  <si>
    <t>MÓDULO 3 - PROVISÃO PARA RECISÃO</t>
  </si>
  <si>
    <t>MÓDULO 4 - CUSTO DA REPOSIÇÃO DO PROFISSIONAL AUSENTE</t>
  </si>
  <si>
    <t>Ausências Legais</t>
  </si>
  <si>
    <t>Licença-Paternidade</t>
  </si>
  <si>
    <t>Ausência por acidente de trabalho</t>
  </si>
  <si>
    <t>Intrajornada</t>
  </si>
  <si>
    <t>Intervalo para repouso ou alimentação</t>
  </si>
  <si>
    <t>Quadro Resumo do Módulo 4 - Custo de Reposição do Profissional Ausente</t>
  </si>
  <si>
    <t>Ausencias legais</t>
  </si>
  <si>
    <t xml:space="preserve"> T        O          T          A          L</t>
  </si>
  <si>
    <t>MÓDULO 5 - INSUMOS DIVERSOS</t>
  </si>
  <si>
    <t>QUADRO-RESUMO DO CUSTO POR EMPREGADO</t>
  </si>
  <si>
    <t>Módulo 4 - Custo de Reposição do Profissional Ausente</t>
  </si>
  <si>
    <t>Módulo 6 – Custos indiretos, tributos e lucro</t>
  </si>
  <si>
    <t>C1. Tributos Federais</t>
  </si>
  <si>
    <t>C1.1. PIS</t>
  </si>
  <si>
    <t>C1.2. COFINS</t>
  </si>
  <si>
    <t>DIA __/__/__ às __:__ HORAS</t>
  </si>
  <si>
    <t>DETALHAMENTO DOS ENCARGOS SOCIAIS</t>
  </si>
  <si>
    <t xml:space="preserve">Total   </t>
  </si>
  <si>
    <t>Salário Educação</t>
  </si>
  <si>
    <r>
      <t>A -</t>
    </r>
    <r>
      <rPr>
        <sz val="12"/>
        <color indexed="10"/>
        <rFont val="Arial Narrow"/>
        <family val="2"/>
      </rPr>
      <t xml:space="preserve"> INSS </t>
    </r>
    <r>
      <rPr>
        <sz val="12"/>
        <rFont val="Arial Narrow"/>
        <family val="2"/>
      </rPr>
      <t>–</t>
    </r>
    <r>
      <rPr>
        <sz val="12"/>
        <color indexed="10"/>
        <rFont val="Arial Narrow"/>
        <family val="2"/>
      </rPr>
      <t xml:space="preserve"> </t>
    </r>
    <r>
      <rPr>
        <sz val="12"/>
        <rFont val="Arial Narrow"/>
        <family val="2"/>
      </rPr>
      <t>Conforme o artigo 22, inciso I, da Lei 8.212/91, empresa custeia 20%.</t>
    </r>
  </si>
  <si>
    <t>2.2 Encargos Previdenciários (GPS), Fundo de Garantia por Tempo de Serviço (FGTS) e outras contribuições.</t>
  </si>
  <si>
    <t>2.1  13º Salário e Adicional Férias</t>
  </si>
  <si>
    <r>
      <t xml:space="preserve">B </t>
    </r>
    <r>
      <rPr>
        <sz val="12"/>
        <color indexed="10"/>
        <rFont val="Arial Narrow"/>
        <family val="2"/>
      </rPr>
      <t>- Incidência do FGTS sobre o aviso prévio indenizado. (</t>
    </r>
    <r>
      <rPr>
        <sz val="12"/>
        <rFont val="Arial Narrow"/>
        <family val="2"/>
      </rPr>
      <t>Retificado o item “B” do Submódulo 4.4 - provisão para rescisão publicado no Diário Oficial da União n° 63, Seção I, página 92, em 1° de abril de 2011.</t>
    </r>
    <r>
      <rPr>
        <sz val="12"/>
        <color indexed="10"/>
        <rFont val="Arial Narrow"/>
        <family val="2"/>
      </rPr>
      <t>)</t>
    </r>
  </si>
  <si>
    <t>Total dos encargos sociais (soma dos submódulos 2.1, 2.2, 3, 4.1 e 4.2)</t>
  </si>
  <si>
    <t>Módulo 5 - Insumos Diversos</t>
  </si>
  <si>
    <t>Módulo 1 - Composição da Remuneração</t>
  </si>
  <si>
    <t>Módulo 2 - Encargos e Benefícios Anuais, Mensais e Diários</t>
  </si>
  <si>
    <t>Módulo 3 - Provisão para Rescisão</t>
  </si>
  <si>
    <t>C.2.1. ISS</t>
  </si>
  <si>
    <t>C.3. Tributos Municipais (especificar)</t>
  </si>
  <si>
    <t>C.2. Tributos Estaduais</t>
  </si>
  <si>
    <r>
      <t> </t>
    </r>
    <r>
      <rPr>
        <b/>
        <sz val="12"/>
        <color indexed="10"/>
        <rFont val="Arial"/>
        <family val="2"/>
      </rPr>
      <t>MÓDULO 1: COMPOSIÇÃO DA REMUNERAÇÃO</t>
    </r>
  </si>
  <si>
    <r>
      <t xml:space="preserve">B </t>
    </r>
    <r>
      <rPr>
        <sz val="12"/>
        <color indexed="10"/>
        <rFont val="Arial Narrow"/>
        <family val="2"/>
      </rPr>
      <t xml:space="preserve">- Salário Educação </t>
    </r>
    <r>
      <rPr>
        <sz val="12"/>
        <rFont val="Arial Narrow"/>
        <family val="2"/>
      </rPr>
      <t>– A prestadora de serviços contribui com 2,5%, por determinação do art. 15, da Lei nº 9.424/96; do art. 2º do Decreto nº 3.142/99; e art. 212, § 5º da CF.</t>
    </r>
  </si>
  <si>
    <r>
      <t xml:space="preserve">D </t>
    </r>
    <r>
      <rPr>
        <sz val="12"/>
        <color indexed="10"/>
        <rFont val="Arial Narrow"/>
        <family val="2"/>
      </rPr>
      <t xml:space="preserve">- SESI/SESC </t>
    </r>
    <r>
      <rPr>
        <sz val="12"/>
        <rFont val="Arial Narrow"/>
        <family val="2"/>
      </rPr>
      <t>– Conforme o artigo 30 da Lei n. 8.036/90</t>
    </r>
  </si>
  <si>
    <r>
      <t xml:space="preserve">E </t>
    </r>
    <r>
      <rPr>
        <sz val="12"/>
        <color indexed="10"/>
        <rFont val="Arial Narrow"/>
        <family val="2"/>
      </rPr>
      <t xml:space="preserve">- SENAI /SENAC </t>
    </r>
    <r>
      <rPr>
        <sz val="12"/>
        <rFont val="Arial Narrow"/>
        <family val="2"/>
      </rPr>
      <t>– O contribuinte arca com 1%, em obediência ao Decreto-Lei nº 2.318/86.</t>
    </r>
  </si>
  <si>
    <r>
      <t>F -</t>
    </r>
    <r>
      <rPr>
        <sz val="12"/>
        <color indexed="10"/>
        <rFont val="Arial Narrow"/>
        <family val="2"/>
      </rPr>
      <t xml:space="preserve"> SEBRAE –</t>
    </r>
    <r>
      <rPr>
        <sz val="12"/>
        <rFont val="Arial Narrow"/>
        <family val="2"/>
      </rPr>
      <t xml:space="preserve"> O empregador, para atender à Lei nº 8.029/90, contribui com 0,6% sobre a folha de pagamento.</t>
    </r>
  </si>
  <si>
    <r>
      <t xml:space="preserve">H </t>
    </r>
    <r>
      <rPr>
        <sz val="12"/>
        <color indexed="10"/>
        <rFont val="Arial Narrow"/>
        <family val="2"/>
      </rPr>
      <t xml:space="preserve">- FGTS - </t>
    </r>
    <r>
      <rPr>
        <sz val="12"/>
        <rFont val="Arial Narrow"/>
        <family val="2"/>
      </rPr>
      <t>O depósito voltou a ser de 8%, como preconiza a Lei Complementar 110/2001. O tributo está previsto no art. 7º, Inciso III, da Constituição Federal, tendo sido regulamentado pela Lei nº 8.030/90, artigo 15.</t>
    </r>
  </si>
  <si>
    <r>
      <rPr>
        <b/>
        <sz val="12"/>
        <color indexed="10"/>
        <rFont val="Arial Narrow"/>
        <family val="2"/>
      </rPr>
      <t>G</t>
    </r>
    <r>
      <rPr>
        <sz val="12"/>
        <color indexed="10"/>
        <rFont val="Arial Narrow"/>
        <family val="2"/>
      </rPr>
      <t xml:space="preserve"> - INCRA</t>
    </r>
    <r>
      <rPr>
        <sz val="12"/>
        <rFont val="Arial Narrow"/>
        <family val="2"/>
      </rPr>
      <t xml:space="preserve"> – A empresa participa com 0,2%, para atendimento dos artigos 1º e 2º do Decreto-Lei nº 1.146/70.</t>
    </r>
  </si>
  <si>
    <t>Valor Unitário/diário (R$)</t>
  </si>
  <si>
    <r>
      <rPr>
        <b/>
        <sz val="12"/>
        <color indexed="10"/>
        <rFont val="Arial Narrow"/>
        <family val="2"/>
      </rPr>
      <t>E</t>
    </r>
    <r>
      <rPr>
        <sz val="12"/>
        <color indexed="10"/>
        <rFont val="Arial Narrow"/>
        <family val="2"/>
      </rPr>
      <t xml:space="preserve"> - Incidência dos encargos do submódulo 2.2 sobre aviso prévio trabalhado</t>
    </r>
  </si>
  <si>
    <t>MÓDULOS - 3  PROVISÃO PARA RESCISÃO</t>
  </si>
  <si>
    <t>MÓDULO 4 - COMPOSIÇÃO DO CUSTO DE REPOSIÇÃO DO PROFISSIONAL AUSENTE</t>
  </si>
  <si>
    <t>Prezado Licitante, favor atentar para as orientações a seguir:</t>
  </si>
  <si>
    <t>4.1 Ausências legais</t>
  </si>
  <si>
    <t>Adicional de Hora Extra</t>
  </si>
  <si>
    <t>Fundo p/ indenização decorrente de aposentadoria</t>
  </si>
  <si>
    <t>ANEXO II - MODELO DE PLANILHA DE CUSTOS E FORMAÇÃO DE PREÇOS</t>
  </si>
  <si>
    <t>Assistência médica e familiar (Auxílio Saúde)</t>
  </si>
  <si>
    <t>Seguro de vida em grupo, invalidez e funeral</t>
  </si>
  <si>
    <t>Incidência do submódulo 2.2 sobre 13º e Adic. Férias</t>
  </si>
  <si>
    <t>Incidência do submódulo 2.2 sobre o custo da resposição do profissional ausênte</t>
  </si>
  <si>
    <r>
      <t> </t>
    </r>
    <r>
      <rPr>
        <b/>
        <sz val="12"/>
        <color indexed="10"/>
        <rFont val="Arial"/>
        <family val="2"/>
      </rPr>
      <t>MÓDULO 6 - CUSTOS INDIRETOS, TRIBUTOS E LUCRO</t>
    </r>
  </si>
  <si>
    <t>Mão-de-obra Vinculada à Execução Contratual
(valor por empregado)</t>
  </si>
  <si>
    <t>Percentual por módulo</t>
  </si>
  <si>
    <t>Adicional de Férias (terço constitucional)</t>
  </si>
  <si>
    <t>Férias</t>
  </si>
  <si>
    <t>13º (décimo terceiro) Salário e Adicional de Férias</t>
  </si>
  <si>
    <t>Encarregado</t>
  </si>
  <si>
    <t xml:space="preserve"> VALOR TOTAL DO POSTO = 1 SUPERVISOR/ENCARREGADO</t>
  </si>
  <si>
    <t>4) Nas Planilhas de Custo individuais de cada posto, a inserção dos percentuais referentes a custos indiretos, lucro e tributos completará seu preenchimento.</t>
  </si>
  <si>
    <t>Transporte (valor x 21) - (6% Sobre o Salário Base)</t>
  </si>
  <si>
    <t>Auxílio alimentação (valor x 21)</t>
  </si>
  <si>
    <t>Subtotal (A + B +C+ D+ E )</t>
  </si>
  <si>
    <t>Subtotal (A + B +C+ D + E)</t>
  </si>
  <si>
    <t>4.2 Intra Jornada</t>
  </si>
  <si>
    <t>Materiais</t>
  </si>
  <si>
    <t>Equipamentos</t>
  </si>
  <si>
    <t>MINISTÉRIO DO DESENVOLVIMENTO REGIONAL</t>
  </si>
  <si>
    <t>Encarregado de limpeza</t>
  </si>
  <si>
    <t>Servente</t>
  </si>
  <si>
    <t>Jauzeiro</t>
  </si>
  <si>
    <t>Encarregado de Limpeza - 44 horas semanais</t>
  </si>
  <si>
    <t>Servente - 44 horas semanais</t>
  </si>
  <si>
    <t>Assistência Odontológica</t>
  </si>
  <si>
    <t>4101-05</t>
  </si>
  <si>
    <t>5143-20</t>
  </si>
  <si>
    <t>A.1</t>
  </si>
  <si>
    <t>Desconto Vale Transporte (6% Sobre o Salário Base)</t>
  </si>
  <si>
    <t>Componente</t>
  </si>
  <si>
    <t>Qtd Inicial</t>
  </si>
  <si>
    <t>Qtd Semestral</t>
  </si>
  <si>
    <t>Total</t>
  </si>
  <si>
    <t>Calça</t>
  </si>
  <si>
    <t>Camisa </t>
  </si>
  <si>
    <t>Meia</t>
  </si>
  <si>
    <t>UNIFORMES</t>
  </si>
  <si>
    <t xml:space="preserve">Total Anual     </t>
  </si>
  <si>
    <t xml:space="preserve">Total Mensal     </t>
  </si>
  <si>
    <t xml:space="preserve">Meia </t>
  </si>
  <si>
    <t xml:space="preserve">Bota de segurança </t>
  </si>
  <si>
    <t xml:space="preserve">Casaco de frio </t>
  </si>
  <si>
    <t>ITEM</t>
  </si>
  <si>
    <t>TOTAL</t>
  </si>
  <si>
    <t>MATERIAIS DE CONSUMO</t>
  </si>
  <si>
    <t xml:space="preserve">Álcool Etílico Hidratado (mínimo 70%) </t>
  </si>
  <si>
    <t>Litro</t>
  </si>
  <si>
    <t>Mensal</t>
  </si>
  <si>
    <t xml:space="preserve">Água Sanitária </t>
  </si>
  <si>
    <t>Desinfetante Concentrado</t>
  </si>
  <si>
    <t>Galão 5 litros</t>
  </si>
  <si>
    <t>Desodorizador de ar para neutralizar odores em banheiros, cozinhas e salas. Aromas variados –  360 ml</t>
  </si>
  <si>
    <t>Unid.</t>
  </si>
  <si>
    <t>Detergente líquido hipoalergênico, biodegradável</t>
  </si>
  <si>
    <t>Disco de limpeza branco 380mm - Enceradeira</t>
  </si>
  <si>
    <t>8</t>
  </si>
  <si>
    <t>Disco de limpeza preto 380 mm- Enceradeira</t>
  </si>
  <si>
    <t>Escova manual com cerdas de nylon</t>
  </si>
  <si>
    <t>Escova para vaso sanitário</t>
  </si>
  <si>
    <t>Esponja dupla-face multiuso, higiênica e durável – Medida aproximada de 100x70x20mm</t>
  </si>
  <si>
    <t xml:space="preserve">Fibras de limpeza geral - Embalagem 102x230mm </t>
  </si>
  <si>
    <t>Flanela branca absorvente e macia 40 x 40 cm</t>
  </si>
  <si>
    <t>Hipocloreto de Sódio 12% (de 5L)</t>
  </si>
  <si>
    <t>Impermeabilizante acrílico auto - brilho – Embalagem 5 litros (UHS)</t>
  </si>
  <si>
    <t>16</t>
  </si>
  <si>
    <t>Inseticidas em aerossol</t>
  </si>
  <si>
    <t>Limpa Pedra - limpeza pesada de pisos em áreas de tráfego intenso (granito e pedras) – 5 litros</t>
  </si>
  <si>
    <t>Galão</t>
  </si>
  <si>
    <t>Limpa vidro de 500 ml (com comprovação de registro no Ministério da Saúde)</t>
  </si>
  <si>
    <t>Limpador concentrado tipo multiuso e removedor de gordura para a limpeza de cozinhas, banheiros, pias, azulejos, plásticos, esmaltados e superfícies laváveis – Embalagem descartável e reciclável com fácil aplicação à jato (com comprovação de registro no Ministério da Saúde)</t>
  </si>
  <si>
    <t>Lustra móvel a base de silicone, repelente dumidade e poeira que permita um brilho seco. Ideal para móveis envernizados e encerados. Embalagem descartável de 200 ml</t>
  </si>
  <si>
    <t>Luvas  de  borracha  fabricada  em  borracha  natural  latex,  anti-alérgica,  com espessura de 0.70 mm antiderrapante (tamanho P, M e G) (Par)</t>
  </si>
  <si>
    <t>Pá de plástico para lixo (cabo longo)</t>
  </si>
  <si>
    <t>Pano de chão para limpeza – algodão alvejado 42 X 62 cm</t>
  </si>
  <si>
    <t>Pano para limpeza absorvente e macio que possua furos especiais para reter a sujeira e gordura sem soltar pêlos</t>
  </si>
  <si>
    <t>Papel higiênico neutro 100% celulose, folha dupla picotado em textura microgofrada ou lisa rolos de 240m/10cm, de 1ª qualidade – caixa com 8 rolos</t>
  </si>
  <si>
    <t>Caixa</t>
  </si>
  <si>
    <t>Pasta multiuso de 500 gramas</t>
  </si>
  <si>
    <t>Pedra sanitária 16g</t>
  </si>
  <si>
    <t xml:space="preserve">Brilho inox para superfície de aço inox, alumínio e peças cromadas - (de 500 ml)  </t>
  </si>
  <si>
    <t xml:space="preserve">Removedor de manchas de carpetes </t>
  </si>
  <si>
    <t>litros</t>
  </si>
  <si>
    <t xml:space="preserve">Removedor de sujeira pesada - (de 5 litros)   </t>
  </si>
  <si>
    <t>Rodo de madeira com borracha dupla e cabo de madeira extensão 1,30m medindo 40cm.</t>
  </si>
  <si>
    <t>Rodo de madeira com borracha dupla e cabo de madeira extensão 1,30m medindo 60cm.</t>
  </si>
  <si>
    <t>Sabão em barra</t>
  </si>
  <si>
    <t>Sabão em pó - saco de 5KG</t>
  </si>
  <si>
    <t>5 KG</t>
  </si>
  <si>
    <t>Sabonete líquido – 5 litros</t>
  </si>
  <si>
    <t>Saco plástico para lixo capacidade de 100l, cor cinza, reforçado</t>
  </si>
  <si>
    <t xml:space="preserve">Saco plástico para lixo capacidade de 100l, cor preta, reforçado </t>
  </si>
  <si>
    <t>Saco plástico para lixo capacidade de 100l, cor verde, reforçado</t>
  </si>
  <si>
    <t xml:space="preserve">Saco plástico para lixo capacidade de 60l, cor preta, reforçado </t>
  </si>
  <si>
    <t>Saco plástico para lixo capacidade de 40l, cor cinza, reforçado</t>
  </si>
  <si>
    <t>Saco plástico para lixo capacidade de 40l, cor preta, reforçado</t>
  </si>
  <si>
    <t>Saco plástico para lixo capacidade de 40l, cor verde, reforçado</t>
  </si>
  <si>
    <t xml:space="preserve">Saco plástico para lixo capacidade de 20l, cor preta, reforçado </t>
  </si>
  <si>
    <t>Tela odorizadora para mictório</t>
  </si>
  <si>
    <t>Vaselina líquida</t>
  </si>
  <si>
    <t>Vassoura de pêlo com cabo – tamanho: 40 cm</t>
  </si>
  <si>
    <t>Vassoura de pêlo macio com cabo – tamanho: 60 cm</t>
  </si>
  <si>
    <t>Vassoura Piaçava em nylon com cabo</t>
  </si>
  <si>
    <t>Balde plástico cor preta, com alça – 20 litros</t>
  </si>
  <si>
    <t>Borrifador de plástico - capacidade 200 ml</t>
  </si>
  <si>
    <t>Esfregão suporte de parede para limpeza (minilock)</t>
  </si>
  <si>
    <t>Escova Manual</t>
  </si>
  <si>
    <t>Kit Unger ou similar de ferro – Limpeza de Vidro</t>
  </si>
  <si>
    <t xml:space="preserve">Saco descartável para aspirador de pó </t>
  </si>
  <si>
    <t>Item</t>
  </si>
  <si>
    <t xml:space="preserve">Unid. </t>
  </si>
  <si>
    <t xml:space="preserve">Period. de entrega </t>
  </si>
  <si>
    <t>Bloco E</t>
  </si>
  <si>
    <t>Qtd</t>
  </si>
  <si>
    <t>V. TOTAL</t>
  </si>
  <si>
    <t>EQUIPAMENTOS</t>
  </si>
  <si>
    <t xml:space="preserve">TOTAL GERAL DOS EQUIPAMENTOS     </t>
  </si>
  <si>
    <t xml:space="preserve">VALOR DEPRECIAÇÃO MENSAL (60 MESES)     </t>
  </si>
  <si>
    <t xml:space="preserve">VALOR UNITÁRIO POR SERVENTE     </t>
  </si>
  <si>
    <t>Nº de meses de execusão contratual</t>
  </si>
  <si>
    <t>CONTRATAÇÃO DE SERVIÇO DE LIMPEZA</t>
  </si>
  <si>
    <t>MÃO DE OBRA</t>
  </si>
  <si>
    <t>ÁREA INTERNA</t>
  </si>
  <si>
    <t>ÁREA EXTERNA</t>
  </si>
  <si>
    <t>RESUMO</t>
  </si>
  <si>
    <t xml:space="preserve"> VALOR TOTAL DO POSTO = ENCARREGADO</t>
  </si>
  <si>
    <t xml:space="preserve"> VALOR TOTAL DO POSTO = SERVENTE</t>
  </si>
  <si>
    <t>1/188,76</t>
  </si>
  <si>
    <t>1/1.132,6</t>
  </si>
  <si>
    <t>PRODUTIVIDADE
(1/M2)
[a]</t>
  </si>
  <si>
    <t>PREÇO HOMEM-MÊS
(R$)
[b]</t>
  </si>
  <si>
    <t>SUBTOTAL
(R$/M2)
[c] = [a] x [b]</t>
  </si>
  <si>
    <t>FREQÜÊNCIA NO MÊS
(HORAS)
[b]</t>
  </si>
  <si>
    <t>JORNADA DE TRABALHO NO MÊS
(HORAS)
[c]</t>
  </si>
  <si>
    <t>Ki= [a] x [b] x [c]
[d]</t>
  </si>
  <si>
    <t>PREÇO HOMEM-MÊS
(R$)
[e]</t>
  </si>
  <si>
    <t>SUBTOTAL
(R$/M2)
[f] = [d] x [e]</t>
  </si>
  <si>
    <t>FREQÜÊNCIA NO SEMESTRE
(HORAS)
[b]</t>
  </si>
  <si>
    <t>Custo Mensal
(R$)
[c] = [a] x [b]</t>
  </si>
  <si>
    <t>ESQUADRIAS EXTERNA - FACE INTERNA
(sem exposição ao risco)</t>
  </si>
  <si>
    <t>ESQUADRIAS - FACE EXTERNA
(com exposição ao risco)</t>
  </si>
  <si>
    <t>Custo Unit Estim</t>
  </si>
  <si>
    <t>Especificação</t>
  </si>
  <si>
    <t>Marca/Modelo</t>
  </si>
  <si>
    <t>V. Unitário
Estimado</t>
  </si>
  <si>
    <t>Aspiradores de pó/água, tipo industrial</t>
  </si>
  <si>
    <t>Unidade</t>
  </si>
  <si>
    <t xml:space="preserve">Entrega única </t>
  </si>
  <si>
    <t>Carrinho container de lixo com rodinhas  - (de 500 L)</t>
  </si>
  <si>
    <t>Carrinho para corredor de área administrativa, acoplado dos seguintes complementos: vassoura, mop-água; rodo dois baldes, cestos de lixo e placas identificadoras para piso molhado</t>
  </si>
  <si>
    <t>Desentupidor de pia</t>
  </si>
  <si>
    <t>Desentupidor de vaso sanitário</t>
  </si>
  <si>
    <t>Dispenser para papel higiênico branco com chave especial</t>
  </si>
  <si>
    <t>Dispenser para sabonete Líquido</t>
  </si>
  <si>
    <t>Suporte de bobina para papel toalha, tamanho 20/200mts auto corte material em plastico ABS com amplo visor frontal, facilitando abrimento do produto</t>
  </si>
  <si>
    <t>Escadas de ferro com 4 degraus</t>
  </si>
  <si>
    <t>Escadas de ferro com 6 degraus</t>
  </si>
  <si>
    <t>Esguicho para mangueira com jato regulável</t>
  </si>
  <si>
    <t>Espátula para limpeza</t>
  </si>
  <si>
    <t>Enceradeira industrial para disco 510 mm</t>
  </si>
  <si>
    <t>Enceradeira industrial para disco 410 mm</t>
  </si>
  <si>
    <t>Máquina Lava jato de alta pressão (acima de 2300W)</t>
  </si>
  <si>
    <t xml:space="preserve">Lixeira plástica preta redonda sem tampa (altura 28 cm) - 15 litros </t>
  </si>
  <si>
    <t>Lixeiras plástica retangular com pedal – 50 litros</t>
  </si>
  <si>
    <t>Mangueira com reforço trançado de alta resistência  com bitola 3/4 - (de 120 m)</t>
  </si>
  <si>
    <t>Metros</t>
  </si>
  <si>
    <t>Mangueira com reforço trançado de alta resistência com bitola 3/4 (de 60 m)</t>
  </si>
  <si>
    <t>Placa sinalizadora “Banheiro fora de uso”</t>
  </si>
  <si>
    <t>Placa sinalizadora “Piso molhado”</t>
  </si>
  <si>
    <t>NOTAS</t>
  </si>
  <si>
    <t>1 - Preencher os campos em amarelo - Valor Unitário do material;</t>
  </si>
  <si>
    <t>'</t>
  </si>
  <si>
    <t>A - 13º (décimo terceiro) Salário (item 14 do Anexo XII da IN 05/2017 MPDG)</t>
  </si>
  <si>
    <r>
      <t>C –</t>
    </r>
    <r>
      <rPr>
        <sz val="12"/>
        <color indexed="10"/>
        <rFont val="Arial Narrow"/>
        <family val="2"/>
      </rPr>
      <t xml:space="preserve"> Multa do FGTS e contribuição social sobre o aviso prévio indenizado (item 14 do Anexo XII da IN 05/2017 MPDG).</t>
    </r>
  </si>
  <si>
    <r>
      <t>F–</t>
    </r>
    <r>
      <rPr>
        <sz val="12"/>
        <color indexed="10"/>
        <rFont val="Arial Narrow"/>
        <family val="2"/>
      </rPr>
      <t xml:space="preserve"> Multa do FGTS e Contribuição social sobre aviso prévio trabalhado (Multa FGTS - Rescisão sem Justa Causa:)–</t>
    </r>
    <r>
      <rPr>
        <sz val="12"/>
        <rFont val="Arial Narrow"/>
        <family val="2"/>
      </rPr>
      <t xml:space="preserve"> Prevista no art. 9º da Lei nº 7.238, de 29 de outubro de 1984, assegura ao empregado dispensado sem justa causa nos trinta dias que antecederem a convenção salarial o direito à percepção de indenização adicional equivalente a um mês de remuneração.</t>
    </r>
    <r>
      <rPr>
        <b/>
        <sz val="12"/>
        <color indexed="10"/>
        <rFont val="Arial Narrow"/>
        <family val="2"/>
      </rPr>
      <t xml:space="preserve">
</t>
    </r>
  </si>
  <si>
    <t>B - Adicional de Férias (item 14 do Anexo XII da IN 05/2017 MPDG)</t>
  </si>
  <si>
    <t>C - Incidência do Submódulo 4.1 sobre 13º Salário e Adicional de Férias.</t>
  </si>
  <si>
    <r>
      <t>A –</t>
    </r>
    <r>
      <rPr>
        <sz val="12"/>
        <color indexed="10"/>
        <rFont val="Arial Narrow"/>
        <family val="2"/>
      </rPr>
      <t xml:space="preserve"> Férias – </t>
    </r>
    <r>
      <rPr>
        <sz val="12"/>
        <rFont val="Arial Narrow"/>
        <family val="2"/>
      </rPr>
      <t>artigo 7º, inciso XVII da Constituição Federal. Afastamento de 30 dias, sem prejuízo da remuneração, após cada período de 12 meses de vigência do contrato de trabalho. O pagamento ocorre conforme preceitua o artigo 129 e o inciso I, artigo 130, do Decreto-Lei nº  5.452/43 - CLT.</t>
    </r>
    <r>
      <rPr>
        <b/>
        <sz val="12"/>
        <color indexed="10"/>
        <rFont val="Arial Narrow"/>
        <family val="2"/>
      </rPr>
      <t xml:space="preserve"> </t>
    </r>
  </si>
  <si>
    <r>
      <t xml:space="preserve">B </t>
    </r>
    <r>
      <rPr>
        <sz val="12"/>
        <color indexed="10"/>
        <rFont val="Arial Narrow"/>
        <family val="2"/>
      </rPr>
      <t xml:space="preserve">- Ausências Legais </t>
    </r>
    <r>
      <rPr>
        <sz val="12"/>
        <rFont val="Arial Narrow"/>
        <family val="2"/>
      </rPr>
      <t xml:space="preserve">- Ausências ao trabalho asseguradas ao empregado pelo art. 473 da CLT (morte de cônjuge, ascendente, descendente; casamento; nascimento de filho; doação de sangue; alistamento eleitoral; serviço militar; comparecer a juízo). </t>
    </r>
  </si>
  <si>
    <r>
      <t xml:space="preserve">A - </t>
    </r>
    <r>
      <rPr>
        <sz val="12"/>
        <color indexed="10"/>
        <rFont val="Arial Narrow"/>
        <family val="2"/>
      </rPr>
      <t xml:space="preserve">Aviso Prévio indenizado - </t>
    </r>
    <r>
      <rPr>
        <sz val="12"/>
        <rFont val="Arial Narrow"/>
        <family val="2"/>
      </rPr>
      <t>FUNDAMENTAÇÃO LEGAL: - Constituição Federal de 1988 (Art. 7°, inciso XXI) e CLT (Art. 477, art. 487 a 491 - Estudos CNJ – Resolução 98/2009: Aviso Prévio indenizado - Trata-se de valor devido ao empregado no caso de o empregador rescindir o contrato sem justo motivo e sem lhe conceder aviso prévio, conforme disposto no § 1º do art. 487 da CLT.</t>
    </r>
    <r>
      <rPr>
        <b/>
        <sz val="12"/>
        <color indexed="10"/>
        <rFont val="Arial Narrow"/>
        <family val="2"/>
      </rPr>
      <t xml:space="preserve">
</t>
    </r>
    <r>
      <rPr>
        <b/>
        <sz val="12"/>
        <color rgb="FF0000FF"/>
        <rFont val="Arial Narrow"/>
        <family val="2"/>
      </rPr>
      <t>Estimou-se que 5% do pessoal possa a ser demitido pelo empregador nessas condições (1/12 x 5%)</t>
    </r>
  </si>
  <si>
    <r>
      <t>D –</t>
    </r>
    <r>
      <rPr>
        <sz val="12"/>
        <color indexed="10"/>
        <rFont val="Arial Narrow"/>
        <family val="2"/>
      </rPr>
      <t xml:space="preserve"> Aviso prévio trabalhado</t>
    </r>
    <r>
      <rPr>
        <sz val="12"/>
        <rFont val="Arial Narrow"/>
        <family val="2"/>
      </rPr>
      <t xml:space="preserve"> – FUNDAMENTAÇÃO LEGAL: - Jurisprudência - TCU (Acórdão 3.006/2010 – Plenário - vide apêndice pág. 53) -  Estudos CNJ – Resolução 98/2009 - Aviso Prévio: Refere-se à indenização de sete dias corridos devida ao empregado no caso de o empregador rescindir o contrato sem justo motivo e conceder aviso prévio, conforme disposto no art. 488 da CLT. </t>
    </r>
    <r>
      <rPr>
        <b/>
        <sz val="12"/>
        <color indexed="10"/>
        <rFont val="Arial Narrow"/>
        <family val="2"/>
      </rPr>
      <t xml:space="preserve">
</t>
    </r>
    <r>
      <rPr>
        <sz val="12"/>
        <color rgb="FF0000FF"/>
        <rFont val="Arial Narrow"/>
        <family val="2"/>
      </rPr>
      <t>O percentual máximo dessa parcela será de 0,194% a cada ano de prorrogação, a ser incluído por ocasião da formulação do aditivo da prorrogação do contrato.</t>
    </r>
  </si>
  <si>
    <t>F - Incidência do submódulo 2.2 sobre as alíneas A, B, C, D e E do submódulo 4.1</t>
  </si>
  <si>
    <t>Transporte Encarregado (valor x 21) - (6% Sobre o Salário Base)</t>
  </si>
  <si>
    <t>Transporte Servente (valor x 21) - (6% Sobre o Salário Base)</t>
  </si>
  <si>
    <t>Transporte Jauzeiro (valor x 21) - (6% Sobre o Salário Base)</t>
  </si>
  <si>
    <t>Auxílio alimentação Encarregado (valor x 21 )</t>
  </si>
  <si>
    <t>Auxílio alimentação Servente (valor x 21 )</t>
  </si>
  <si>
    <t>Auxílio alimentação Jauzeiro (valor x 21 )</t>
  </si>
  <si>
    <t>M2</t>
  </si>
  <si>
    <t xml:space="preserve">Transporte (valor x 21) </t>
  </si>
  <si>
    <t>Papel Toalha rolo (Bobina) 200mts Gramatura 28gr, compatível com o dispenser para toalhas de mão com sistema mecânico com corte automático (caixa com 6 rolos)</t>
  </si>
  <si>
    <r>
      <t xml:space="preserve">1) Nas abas </t>
    </r>
    <r>
      <rPr>
        <b/>
        <sz val="11"/>
        <color indexed="8"/>
        <rFont val="Calibri"/>
        <family val="2"/>
      </rPr>
      <t xml:space="preserve">Uniformes/Equipamentos </t>
    </r>
    <r>
      <rPr>
        <sz val="11"/>
        <color rgb="FF000000"/>
        <rFont val="Calibri"/>
        <family val="2"/>
      </rPr>
      <t>preencher os valores unitários em amarelo. Os valores totais serão refletidos nas p</t>
    </r>
    <r>
      <rPr>
        <sz val="11"/>
        <color theme="1"/>
        <rFont val="Calibri"/>
        <family val="2"/>
        <scheme val="minor"/>
      </rPr>
      <t>lanilhas de composição de custos dos Serventes e Supervisores.</t>
    </r>
  </si>
  <si>
    <r>
      <t>3) A Planilha</t>
    </r>
    <r>
      <rPr>
        <b/>
        <sz val="11"/>
        <color indexed="8"/>
        <rFont val="Calibri"/>
        <family val="2"/>
      </rPr>
      <t xml:space="preserve"> Salário, Encargos Sociais e Benefícios</t>
    </r>
    <r>
      <rPr>
        <sz val="11"/>
        <color theme="1"/>
        <rFont val="Calibri"/>
        <family val="2"/>
        <scheme val="minor"/>
      </rPr>
      <t xml:space="preserve"> foi formulada para facilitar o preenchimento e a conferência dos submódulos realtivos a Encargos sociais e Benefícios mensais e Diários (submódulos 2.1, 2.2, 3, 4.1 e 4.2 da Planilha da IN 05/2017). Ao preencher o detalhamento dos encargos sociais, Benefícios Mensais e diários, Custo da reposição do profissional ausente nas respectivas células, </t>
    </r>
    <r>
      <rPr>
        <u/>
        <sz val="11"/>
        <color theme="1"/>
        <rFont val="Calibri"/>
        <family val="2"/>
        <scheme val="minor"/>
      </rPr>
      <t>essas serão refletidas em todos os postos.</t>
    </r>
  </si>
  <si>
    <t>Obs: Os materiais serão solicitados sob demanda.</t>
  </si>
  <si>
    <t xml:space="preserve">CUSTO UNITÁRIO COM MATERIAIS POR SERVENTES     </t>
  </si>
  <si>
    <t>GRUPO</t>
  </si>
  <si>
    <r>
      <t xml:space="preserve">2) Os </t>
    </r>
    <r>
      <rPr>
        <b/>
        <sz val="11"/>
        <color indexed="8"/>
        <rFont val="Calibri"/>
        <family val="2"/>
      </rPr>
      <t xml:space="preserve">Materiais de Consumo </t>
    </r>
    <r>
      <rPr>
        <sz val="11"/>
        <color rgb="FF000000"/>
        <rFont val="Calibri"/>
        <family val="2"/>
      </rPr>
      <t>poderão variar mensalmente.</t>
    </r>
  </si>
  <si>
    <t>Custo Anual
(R$)
[d] = [c] x [12]</t>
  </si>
  <si>
    <t>906 Norte</t>
  </si>
  <si>
    <t>1/(30*1000)</t>
  </si>
  <si>
    <t>1/1000</t>
  </si>
  <si>
    <t>1/(4*140)</t>
  </si>
  <si>
    <t>1/140</t>
  </si>
  <si>
    <t>Custo
(R$/M2)
[a]</t>
  </si>
  <si>
    <t>Quantidade 
(M2)
[b]</t>
  </si>
  <si>
    <t>Jauzeiro - 44 horas semanais</t>
  </si>
  <si>
    <r>
      <t xml:space="preserve">D </t>
    </r>
    <r>
      <rPr>
        <sz val="12"/>
        <color indexed="10"/>
        <rFont val="Arial Narrow"/>
        <family val="2"/>
      </rPr>
      <t>– Ausência por Acidente de Trabalho</t>
    </r>
    <r>
      <rPr>
        <sz val="12"/>
        <rFont val="Arial Narrow"/>
        <family val="2"/>
      </rPr>
      <t xml:space="preserve"> - O 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2,46%  dos empregados se acidentam no ano. Assim a provisão se faz necessária.
</t>
    </r>
    <r>
      <rPr>
        <b/>
        <sz val="12"/>
        <color rgb="FF0000FF"/>
        <rFont val="Arial Narrow"/>
        <family val="2"/>
      </rPr>
      <t>(15÷360)x(2,46%)</t>
    </r>
  </si>
  <si>
    <t>Qtd Período</t>
  </si>
  <si>
    <t>Qtd
Ano</t>
  </si>
  <si>
    <t>V. TOTAL
ANUAL</t>
  </si>
  <si>
    <t>Quadrimestral</t>
  </si>
  <si>
    <t>Única</t>
  </si>
  <si>
    <t xml:space="preserve"> ITEM 5 - TOTAL GERAL MATERIAL DE CONSUMO ANUAL</t>
  </si>
  <si>
    <t>CUSTO UNITÁRIO COM MATERIAIS POR SERVENTES MENSAL</t>
  </si>
  <si>
    <r>
      <t xml:space="preserve">C </t>
    </r>
    <r>
      <rPr>
        <sz val="12"/>
        <color indexed="10"/>
        <rFont val="Arial Narrow"/>
        <family val="2"/>
      </rPr>
      <t>- Seguro Acidente do Trabalho</t>
    </r>
    <r>
      <rPr>
        <sz val="12"/>
        <rFont val="Arial Narrow"/>
        <family val="2"/>
      </rPr>
      <t xml:space="preserve"> </t>
    </r>
    <r>
      <rPr>
        <sz val="12"/>
        <color indexed="10"/>
        <rFont val="Arial Narrow"/>
        <family val="2"/>
      </rPr>
      <t xml:space="preserve">- SAT </t>
    </r>
    <r>
      <rPr>
        <sz val="12"/>
        <rFont val="Arial Narrow"/>
        <family val="2"/>
      </rPr>
      <t>(FAP x RAT)</t>
    </r>
    <r>
      <rPr>
        <b/>
        <sz val="12"/>
        <color indexed="10"/>
        <rFont val="Arial Narrow"/>
        <family val="2"/>
      </rPr>
      <t xml:space="preserve"> </t>
    </r>
    <r>
      <rPr>
        <sz val="12"/>
        <rFont val="Arial Narrow"/>
        <family val="2"/>
      </rPr>
      <t>- Deverá ser comprovado a taxa efetivamente paga.</t>
    </r>
  </si>
  <si>
    <r>
      <t>E –</t>
    </r>
    <r>
      <rPr>
        <sz val="12"/>
        <color indexed="10"/>
        <rFont val="Arial Narrow"/>
        <family val="2"/>
      </rPr>
      <t xml:space="preserve"> Afastamento maternidade –</t>
    </r>
    <r>
      <rPr>
        <sz val="12"/>
        <rFont val="Arial Narrow"/>
        <family val="2"/>
      </rPr>
      <t xml:space="preserve"> O benefício da licença maternidade está previsto na Constituição Federal de 1988, especificamente nos artigos 6º, 7º, inciso XVIII, 201, inciso II e 203, inciso I. Lei Ordinária Federal n.º 8.123, de 24 de julho de 1991, regulamenta o benefício da licença maternidade, especificamente em seu artigo 71 a 73. A licença maternidade tem duração de 120 (cento e vinte) dias. O cálculo deve considerar 4/12 de adicional de 1/3 de férias e 4/12 de 13º salário da profissional substituta. Estima-se que aproximadamente 1,416% das mulheres economicamente ativa são mães durante o período de 12 meses. </t>
    </r>
    <r>
      <rPr>
        <b/>
        <sz val="12"/>
        <color rgb="FF0000FF"/>
        <rFont val="Arial Narrow"/>
        <family val="2"/>
      </rPr>
      <t>Cálculo: 50%*1,416%*(4/12)*(8,33%+2,98%+9,09%)</t>
    </r>
    <r>
      <rPr>
        <sz val="12"/>
        <rFont val="Arial Narrow"/>
        <family val="2"/>
      </rPr>
      <t xml:space="preserve">
</t>
    </r>
  </si>
  <si>
    <r>
      <t>C -</t>
    </r>
    <r>
      <rPr>
        <sz val="12"/>
        <color indexed="10"/>
        <rFont val="Arial Narrow"/>
        <family val="2"/>
      </rPr>
      <t xml:space="preserve"> Licença Paternidade -</t>
    </r>
    <r>
      <rPr>
        <sz val="12"/>
        <rFont val="Arial Narrow"/>
        <family val="2"/>
      </rPr>
      <t xml:space="preserve"> Criada pelo art. 7º, inciso XIX da CF, combinado com o art. 10, § 1º dos Atos das Disposições Constitucionais Transitórias – ADCT -, concede ao empregado o direito de ausentar-se do serviço por cinco dias quando do nascimento de filho.
</t>
    </r>
    <r>
      <rPr>
        <b/>
        <sz val="12"/>
        <color rgb="FF0000FF"/>
        <rFont val="Arial Narrow"/>
        <family val="2"/>
      </rPr>
      <t>Estimou-se que nascem filhos de 1,416% dos trabalhadores no período de um ano. Dessa forma a provisão para este item corresponde a: (5÷360)x(1,416%)</t>
    </r>
    <r>
      <rPr>
        <b/>
        <sz val="12"/>
        <color indexed="10"/>
        <rFont val="Arial Narrow"/>
        <family val="2"/>
      </rPr>
      <t xml:space="preserve"> </t>
    </r>
    <r>
      <rPr>
        <sz val="12"/>
        <rFont val="Arial Narrow"/>
        <family val="2"/>
      </rPr>
      <t>Taxa de natalidade Brasil 2015.</t>
    </r>
  </si>
  <si>
    <t>MODELO PROPOSTA DE PREÇOS</t>
  </si>
  <si>
    <t xml:space="preserve"> BLOCO E - ÁREA INTERNA</t>
  </si>
  <si>
    <t xml:space="preserve"> BLOCO E - ESQUADRIAS EXTERNA - FACE INTERNA</t>
  </si>
  <si>
    <t>CELSO FURTADO - ÁREA INTERNA</t>
  </si>
  <si>
    <t>CELSO FURTADO - ÁREA EXTERNA</t>
  </si>
  <si>
    <t>CELSO FURTADO - ESQUADRIAS EXTERNA - FACE INTERNA</t>
  </si>
  <si>
    <t>1/340</t>
  </si>
  <si>
    <t>1/(30*340)</t>
  </si>
  <si>
    <t>CONVENÇÃO COLETIVA DE TRABALHO 2019/2019
NÚMERO DE REGISTRO NO MTE: DF000010/2019
DATA DE REGISTRO NO MTE: 09/01/2019
NÚMERO DA SOLICITAÇÃO: MR078103/2018
NÚMERO DO PROCESSO: 46206.011675/2018-14
DATA DO PROTOCOLO: 28/12/2018 
Salário Normativo Arts. 457 e 458 da CLT e Cláusula Quarta da CCT 2019</t>
  </si>
  <si>
    <t>Eletrolux, GTW inox 20, karcher NT20/1 ou Similar</t>
  </si>
  <si>
    <t>7M Rodas, Uniplast, Bralimpia ou Similar</t>
  </si>
  <si>
    <t>Compaq, Bralimpia, Detrix, Steffen ou Similar</t>
  </si>
  <si>
    <t>Bettanim, vonder ou Similar</t>
  </si>
  <si>
    <t>Nobre, Premisse, Master 3,65, J. Moreira ou Similar</t>
  </si>
  <si>
    <t>Velox, Premisse, Ela ou Similar</t>
  </si>
  <si>
    <t>Deep Clean, Certec, Sales Cleaner ou Similar</t>
  </si>
  <si>
    <t>Lojamor, Alulev, Ágata ou Similar</t>
  </si>
  <si>
    <t>Karcher Vonder ou Similar</t>
  </si>
  <si>
    <t>Kitchen, Usinainfo, condor ou Similar</t>
  </si>
  <si>
    <t>EB1, Sanremo, Protelimp Plasbox ou Similar</t>
  </si>
  <si>
    <t>Guarujá, Portal Litoral ou Similar</t>
  </si>
  <si>
    <t>Karcher,  Vonder ou Similar</t>
  </si>
  <si>
    <t>3M, Riansi , Braslimp ou Similar</t>
  </si>
  <si>
    <t>Nobre, Eco Clean, Elite ou Similar</t>
  </si>
  <si>
    <t>Q Boa, Ypê, Brilhante ou Similar</t>
  </si>
  <si>
    <t>Coperalcool, Start, Itajá ou Similar</t>
  </si>
  <si>
    <t>Utilplast, Rubbermaid ou Similar</t>
  </si>
  <si>
    <t>Guarany, Ultrajet, Nobre ou Similar</t>
  </si>
  <si>
    <t>3M, Dom Line, Start ou Similar</t>
  </si>
  <si>
    <t>Inglesa, Becker, Audax ou Similar</t>
  </si>
  <si>
    <t>Gleid, Air Wick, Keldrin ou Similar</t>
  </si>
  <si>
    <t>Minuano, Becker, Inglesa, Limpol ou Similar</t>
  </si>
  <si>
    <t>3M,Bettanim, Wish ou Similar</t>
  </si>
  <si>
    <t>Condor, Bettanim ou Similar</t>
  </si>
  <si>
    <t>Bralimpia, Bettanim, Condor ou Similar</t>
  </si>
  <si>
    <t>3M,  Assolan, Bombril ou Similar</t>
  </si>
  <si>
    <t>3M, Bettanim, Wish ou Similar</t>
  </si>
  <si>
    <t>MC Flanela, Prime, Pro, Intextil ou Similar</t>
  </si>
  <si>
    <t>Prolim, Start, Butterfly ou Similar</t>
  </si>
  <si>
    <t>Inglesa, Prem ou Similar</t>
  </si>
  <si>
    <t>Keldrin, Raid, SBP ou Similar</t>
  </si>
  <si>
    <t>Bettanim, Karcher ou Similar</t>
  </si>
  <si>
    <t>Prolim, Pedrex, Lim ou Similar</t>
  </si>
  <si>
    <t>Vidrex, Azulim, UAU ou Similar</t>
  </si>
  <si>
    <t>Start, Ypê, Veja, Azulim ou Similar</t>
  </si>
  <si>
    <t>Ypê, Peroba, Poliflor ou Similar</t>
  </si>
  <si>
    <t>Danny Silver, Multserv, Protemax ou Similar</t>
  </si>
  <si>
    <t>Inglesa, Condor ou Similar</t>
  </si>
  <si>
    <t>Prime pro, Sacria, Dinâmica, Intextil ou Similar</t>
  </si>
  <si>
    <t>Perfex, Valbene, Perfect ou Similar</t>
  </si>
  <si>
    <t>Renova, Propaper, Santher Professional ou Similar</t>
  </si>
  <si>
    <t>Propaper, Indaial Light, Panda ou Similar</t>
  </si>
  <si>
    <t>Rosa, Cristal ou Similar</t>
  </si>
  <si>
    <t>Novo Frescor ou Similar</t>
  </si>
  <si>
    <t>Start, Suprema, Unilever</t>
  </si>
  <si>
    <t>Rodolar, Inovação ou Similar</t>
  </si>
  <si>
    <t>Rodobem, Pinus ou Similar</t>
  </si>
  <si>
    <t>Ypê, Minuano, Brilhante ou Similar</t>
  </si>
  <si>
    <t>Start, Assim, Brilhante Minuano ou Similar</t>
  </si>
  <si>
    <t>Oriqui, Floral, Campo Lim ou Similar</t>
  </si>
  <si>
    <t>Prime, Pro, RC PLASTICO OU Similar</t>
  </si>
  <si>
    <t>Citrus, Prolim, Sreen, Fabim jet ou Similar</t>
  </si>
  <si>
    <t>Fuzetto, Fuzautto, Allchem ou Similar</t>
  </si>
  <si>
    <t>Odim, Crina de Cavalo ou Similar</t>
  </si>
  <si>
    <t>1/(30*2500)</t>
  </si>
  <si>
    <t>1/2500</t>
  </si>
  <si>
    <t xml:space="preserve"> BLOCO E - ESQUADRIAS EXTERNA - FACE EXTERNA</t>
  </si>
  <si>
    <t>CELSO FURTADO - ESQUADRIAS EXTERNA - FACE EXTERNA</t>
  </si>
  <si>
    <t>6) As taxas de lucro e custos indiretos foram baseadas no documento: Estudo sobre a Composição dos Custos dos Valores Limites
Serviços de Limpeza e Conservação Unidade da Federação DISTRITO FEDERAL: "https://www.comprasgovernamentais.gov.br/images/conteudo/ArquivosCGNOR/Cadernostecnicos/Cadernos2019/CT_LIM_DF_2019.pdf"</t>
  </si>
  <si>
    <r>
      <t xml:space="preserve">5) </t>
    </r>
    <r>
      <rPr>
        <b/>
        <u/>
        <sz val="11"/>
        <color indexed="8"/>
        <rFont val="Calibri"/>
        <family val="2"/>
      </rPr>
      <t>O licitante deve revisar todos os valores preenchidos e apresentar a respectiva memória de cálculo de acordo com previsão do Edital.</t>
    </r>
  </si>
  <si>
    <t>7) Atenção para aba "Produtividade", caso os valores de produtividade sejam alterados, estes devem ser atualizados nas fórmulas correspondentes.</t>
  </si>
  <si>
    <t xml:space="preserve">Esta planilha de custos e formação de preços, elaborada em acordo com a nova IN 05/2017-SEGES/MP, foi estruturada com a finalidade de auxiliar o Licitante no seu preenchimento  e estimar o preço do serviço para a administração da forma mais transparente possível.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</si>
</sst>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R$&quot;#,##0.00;[Red]\-&quot;R$&quot;#,##0.00"/>
    <numFmt numFmtId="43" formatCode="_-* #,##0.00_-;\-* #,##0.00_-;_-* &quot;-&quot;??_-;_-@_-"/>
    <numFmt numFmtId="164" formatCode="_-&quot;R$&quot;\ * #,##0.00_-;\-&quot;R$&quot;\ * #,##0.00_-;_-&quot;R$&quot;\ * &quot;-&quot;??_-;_-@_-"/>
    <numFmt numFmtId="165" formatCode="_(* #,##0.00_);_(* \(#,##0.00\);_(* &quot;-&quot;??_);_(@_)"/>
    <numFmt numFmtId="166" formatCode="_([$€-2]* #,##0.00_);_([$€-2]* \(#,##0.00\);_([$€-2]* \-??_)"/>
    <numFmt numFmtId="167" formatCode="_(&quot;R$ &quot;* #,##0.00_);_(&quot;R$ &quot;* \(#,##0.00\);_(&quot;R$ &quot;* \-??_);_(@_)"/>
    <numFmt numFmtId="168" formatCode="_-&quot;R$ &quot;* #,##0.00_-;&quot;-R$ &quot;* #,##0.00_-;_-&quot;R$ &quot;* \-??_-;_-@_-"/>
    <numFmt numFmtId="169" formatCode="_-* #,##0.00_-;\-* #,##0.00_-;_-* \-??_-;_-@_-"/>
    <numFmt numFmtId="170" formatCode="_-* #,##0_-;\-* #,##0_-;_-* &quot;-&quot;??_-;_-@_-"/>
    <numFmt numFmtId="171" formatCode="_-&quot;R$&quot;\ * #,##0.0000000_-;\-&quot;R$&quot;\ * #,##0.0000000_-;_-&quot;R$&quot;\ * &quot;-&quot;??_-;_-@_-"/>
    <numFmt numFmtId="172" formatCode="_-* #,##0.0000_-;\-* #,##0.0000_-;_-* &quot;-&quot;??_-;_-@_-"/>
    <numFmt numFmtId="173" formatCode="_-* #,##0.0000_-;\-* #,##0.0000_-;_-* &quot;-&quot;????_-;_-@_-"/>
  </numFmts>
  <fonts count="50" x14ac:knownFonts="1">
    <font>
      <sz val="11"/>
      <color theme="1"/>
      <name val="Calibri"/>
      <family val="2"/>
      <scheme val="minor"/>
    </font>
    <font>
      <sz val="11"/>
      <color indexed="8"/>
      <name val="Calibri"/>
      <family val="2"/>
    </font>
    <font>
      <sz val="11.5"/>
      <name val="Vrinda"/>
      <family val="2"/>
    </font>
    <font>
      <sz val="9"/>
      <name val="Vrinda"/>
      <family val="2"/>
    </font>
    <font>
      <b/>
      <u/>
      <sz val="12"/>
      <name val="Arial"/>
      <family val="2"/>
    </font>
    <font>
      <b/>
      <sz val="12"/>
      <color indexed="10"/>
      <name val="Arial Narrow"/>
      <family val="2"/>
    </font>
    <font>
      <sz val="10"/>
      <name val="Arial"/>
      <family val="2"/>
    </font>
    <font>
      <u/>
      <sz val="10"/>
      <color indexed="12"/>
      <name val="Arial"/>
      <family val="2"/>
    </font>
    <font>
      <u/>
      <sz val="11"/>
      <color indexed="12"/>
      <name val="Calibri"/>
      <family val="2"/>
    </font>
    <font>
      <sz val="11"/>
      <color indexed="8"/>
      <name val="Arial Narrow"/>
      <family val="2"/>
    </font>
    <font>
      <b/>
      <sz val="12"/>
      <name val="Arial Narrow"/>
      <family val="2"/>
    </font>
    <font>
      <sz val="12"/>
      <name val="Arial Narrow"/>
      <family val="2"/>
    </font>
    <font>
      <b/>
      <u/>
      <sz val="12"/>
      <name val="Arial Narrow"/>
      <family val="2"/>
    </font>
    <font>
      <sz val="12"/>
      <color indexed="10"/>
      <name val="Arial Narrow"/>
      <family val="2"/>
    </font>
    <font>
      <b/>
      <sz val="12"/>
      <name val="Arial"/>
      <family val="2"/>
    </font>
    <font>
      <sz val="12"/>
      <name val="Arial"/>
      <family val="2"/>
    </font>
    <font>
      <b/>
      <sz val="12"/>
      <color indexed="10"/>
      <name val="Arial"/>
      <family val="2"/>
    </font>
    <font>
      <sz val="9"/>
      <color indexed="81"/>
      <name val="Segoe UI"/>
      <family val="2"/>
    </font>
    <font>
      <b/>
      <sz val="9"/>
      <color indexed="81"/>
      <name val="Segoe UI"/>
      <family val="2"/>
    </font>
    <font>
      <b/>
      <sz val="11"/>
      <color indexed="8"/>
      <name val="Calibri"/>
      <family val="2"/>
    </font>
    <font>
      <b/>
      <sz val="10"/>
      <name val="Calibri"/>
      <family val="2"/>
    </font>
    <font>
      <sz val="10"/>
      <name val="Calibri"/>
      <family val="2"/>
    </font>
    <font>
      <sz val="11.5"/>
      <name val="Arial"/>
      <family val="2"/>
    </font>
    <font>
      <b/>
      <u/>
      <sz val="11"/>
      <color indexed="8"/>
      <name val="Calibri"/>
      <family val="2"/>
    </font>
    <font>
      <sz val="11"/>
      <color theme="1"/>
      <name val="Calibri"/>
      <family val="2"/>
      <scheme val="minor"/>
    </font>
    <font>
      <b/>
      <sz val="11"/>
      <color theme="1"/>
      <name val="Calibri"/>
      <family val="2"/>
      <scheme val="minor"/>
    </font>
    <font>
      <sz val="10"/>
      <name val="Calibri"/>
      <family val="2"/>
      <scheme val="minor"/>
    </font>
    <font>
      <sz val="12"/>
      <color rgb="FFFF0000"/>
      <name val="Arial Narrow"/>
      <family val="2"/>
    </font>
    <font>
      <b/>
      <sz val="12"/>
      <color rgb="FFFF0000"/>
      <name val="Arial Narrow"/>
      <family val="2"/>
    </font>
    <font>
      <sz val="12"/>
      <color rgb="FFFF0000"/>
      <name val="Arial"/>
      <family val="2"/>
    </font>
    <font>
      <b/>
      <sz val="11"/>
      <color rgb="FFFFFF00"/>
      <name val="Calibri"/>
      <family val="2"/>
      <scheme val="minor"/>
    </font>
    <font>
      <b/>
      <sz val="11"/>
      <color rgb="FFFF0000"/>
      <name val="Calibri"/>
      <family val="2"/>
      <scheme val="minor"/>
    </font>
    <font>
      <b/>
      <sz val="11"/>
      <name val="Calibri"/>
      <family val="2"/>
      <scheme val="minor"/>
    </font>
    <font>
      <b/>
      <sz val="12"/>
      <color rgb="FFFF0000"/>
      <name val="Arial"/>
      <family val="2"/>
    </font>
    <font>
      <b/>
      <sz val="12"/>
      <color theme="1"/>
      <name val="Calibri"/>
      <family val="2"/>
      <scheme val="minor"/>
    </font>
    <font>
      <sz val="10"/>
      <color rgb="FFFF0000"/>
      <name val="Calibri"/>
      <family val="2"/>
    </font>
    <font>
      <sz val="10"/>
      <color rgb="FFFF0000"/>
      <name val="Calibri"/>
      <family val="2"/>
      <scheme val="minor"/>
    </font>
    <font>
      <sz val="12"/>
      <color rgb="FF0000FF"/>
      <name val="Arial Narrow"/>
      <family val="2"/>
    </font>
    <font>
      <b/>
      <sz val="12"/>
      <color rgb="FF0000FF"/>
      <name val="Arial Narrow"/>
      <family val="2"/>
    </font>
    <font>
      <b/>
      <i/>
      <sz val="11"/>
      <color theme="1"/>
      <name val="Calibri"/>
      <family val="2"/>
      <scheme val="minor"/>
    </font>
    <font>
      <b/>
      <i/>
      <sz val="11"/>
      <name val="Calibri"/>
      <family val="2"/>
      <scheme val="minor"/>
    </font>
    <font>
      <b/>
      <sz val="14"/>
      <color rgb="FFFFFF00"/>
      <name val="Calibri"/>
      <family val="2"/>
      <scheme val="minor"/>
    </font>
    <font>
      <b/>
      <sz val="14"/>
      <name val="Calibri"/>
      <family val="2"/>
      <scheme val="minor"/>
    </font>
    <font>
      <b/>
      <sz val="10"/>
      <color theme="1"/>
      <name val="Calibri"/>
      <family val="2"/>
      <scheme val="minor"/>
    </font>
    <font>
      <b/>
      <sz val="9"/>
      <color indexed="8"/>
      <name val="Calibri"/>
      <family val="2"/>
      <scheme val="minor"/>
    </font>
    <font>
      <sz val="9"/>
      <color indexed="8"/>
      <name val="Calibri"/>
      <family val="2"/>
      <scheme val="minor"/>
    </font>
    <font>
      <sz val="11"/>
      <name val="Calibri"/>
      <family val="2"/>
      <scheme val="minor"/>
    </font>
    <font>
      <u/>
      <sz val="11"/>
      <color theme="1"/>
      <name val="Calibri"/>
      <family val="2"/>
      <scheme val="minor"/>
    </font>
    <font>
      <sz val="11"/>
      <color rgb="FF000000"/>
      <name val="Calibri"/>
      <family val="2"/>
    </font>
    <font>
      <b/>
      <sz val="11"/>
      <color rgb="FF0070C0"/>
      <name val="Calibri"/>
      <family val="2"/>
      <scheme val="minor"/>
    </font>
  </fonts>
  <fills count="1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bgColor indexed="31"/>
      </patternFill>
    </fill>
    <fill>
      <patternFill patternType="solid">
        <fgColor theme="0"/>
        <bgColor indexed="26"/>
      </patternFill>
    </fill>
    <fill>
      <patternFill patternType="solid">
        <fgColor theme="3" tint="0.59999389629810485"/>
        <bgColor indexed="26"/>
      </patternFill>
    </fill>
    <fill>
      <patternFill patternType="solid">
        <fgColor rgb="FF002060"/>
        <bgColor indexed="64"/>
      </patternFill>
    </fill>
    <fill>
      <patternFill patternType="solid">
        <fgColor theme="4"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34">
    <xf numFmtId="0" fontId="0" fillId="0" borderId="0"/>
    <xf numFmtId="166" fontId="1" fillId="0" borderId="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24" fillId="0" borderId="0" applyFont="0" applyFill="0" applyBorder="0" applyAlignment="0" applyProtection="0"/>
    <xf numFmtId="167"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0" fontId="6" fillId="0" borderId="0"/>
    <xf numFmtId="0" fontId="6" fillId="0" borderId="0"/>
    <xf numFmtId="0" fontId="1" fillId="0" borderId="0"/>
    <xf numFmtId="0" fontId="9" fillId="0" borderId="0"/>
    <xf numFmtId="0" fontId="6" fillId="0" borderId="0"/>
    <xf numFmtId="0" fontId="6" fillId="0" borderId="0"/>
    <xf numFmtId="0" fontId="1" fillId="0" borderId="0"/>
    <xf numFmtId="9" fontId="24"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43" fontId="24" fillId="0" borderId="0" applyFont="0" applyFill="0" applyBorder="0" applyAlignment="0" applyProtection="0"/>
    <xf numFmtId="169" fontId="1" fillId="0" borderId="0" applyFill="0" applyBorder="0" applyAlignment="0" applyProtection="0"/>
  </cellStyleXfs>
  <cellXfs count="258">
    <xf numFmtId="0" fontId="0" fillId="0" borderId="0" xfId="0"/>
    <xf numFmtId="0" fontId="0" fillId="3" borderId="0" xfId="0" applyFill="1" applyAlignment="1">
      <alignment horizontal="center" vertical="center"/>
    </xf>
    <xf numFmtId="0" fontId="20" fillId="3" borderId="1" xfId="0" applyFont="1" applyFill="1" applyBorder="1" applyAlignment="1">
      <alignment horizontal="center" vertical="center"/>
    </xf>
    <xf numFmtId="164" fontId="25" fillId="3" borderId="1" xfId="4" applyFont="1" applyFill="1" applyBorder="1" applyAlignment="1">
      <alignment horizontal="center" vertical="center"/>
    </xf>
    <xf numFmtId="10" fontId="10" fillId="5" borderId="1" xfId="23" applyNumberFormat="1" applyFont="1" applyFill="1" applyBorder="1" applyAlignment="1" applyProtection="1">
      <alignment horizontal="center" vertical="center" wrapText="1"/>
    </xf>
    <xf numFmtId="0" fontId="21" fillId="3" borderId="0" xfId="0" applyFont="1" applyFill="1" applyBorder="1" applyAlignment="1">
      <alignment vertical="center"/>
    </xf>
    <xf numFmtId="0" fontId="21" fillId="3" borderId="0" xfId="0" applyFont="1" applyFill="1" applyBorder="1" applyAlignment="1">
      <alignment horizontal="center" vertical="center"/>
    </xf>
    <xf numFmtId="164" fontId="21" fillId="3" borderId="0" xfId="4" applyFont="1" applyFill="1" applyBorder="1" applyAlignment="1">
      <alignment horizontal="center" vertical="center"/>
    </xf>
    <xf numFmtId="2" fontId="26" fillId="3" borderId="0" xfId="32" applyNumberFormat="1"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5" fillId="3" borderId="1" xfId="0" applyFont="1" applyFill="1" applyBorder="1" applyAlignment="1">
      <alignment vertical="center" wrapText="1"/>
    </xf>
    <xf numFmtId="164" fontId="15" fillId="3" borderId="1" xfId="4" applyFont="1" applyFill="1" applyBorder="1" applyAlignment="1">
      <alignment vertical="center" wrapText="1"/>
    </xf>
    <xf numFmtId="0" fontId="15" fillId="3" borderId="1" xfId="0" applyFont="1" applyFill="1" applyBorder="1" applyAlignment="1">
      <alignment horizontal="center" vertical="center" wrapText="1"/>
    </xf>
    <xf numFmtId="164" fontId="15" fillId="3" borderId="1" xfId="4" quotePrefix="1" applyFont="1" applyFill="1" applyBorder="1" applyAlignment="1">
      <alignment vertical="center" wrapText="1"/>
    </xf>
    <xf numFmtId="0" fontId="25" fillId="3" borderId="0" xfId="0" applyFont="1" applyFill="1" applyBorder="1" applyAlignment="1"/>
    <xf numFmtId="0" fontId="2" fillId="3" borderId="0" xfId="0" applyFont="1" applyFill="1"/>
    <xf numFmtId="0" fontId="2" fillId="3" borderId="0" xfId="0" applyFont="1" applyFill="1" applyBorder="1"/>
    <xf numFmtId="0" fontId="15" fillId="3" borderId="1" xfId="0" applyFont="1" applyFill="1" applyBorder="1" applyAlignment="1">
      <alignment horizontal="center" vertical="center"/>
    </xf>
    <xf numFmtId="0" fontId="15" fillId="3" borderId="1" xfId="0" applyFont="1" applyFill="1" applyBorder="1" applyAlignment="1">
      <alignment horizontal="left" vertical="center"/>
    </xf>
    <xf numFmtId="0" fontId="22" fillId="3" borderId="1" xfId="0" applyFont="1" applyFill="1" applyBorder="1" applyAlignment="1">
      <alignment horizontal="left" vertical="center"/>
    </xf>
    <xf numFmtId="0" fontId="15" fillId="3" borderId="2" xfId="0" applyFont="1" applyFill="1" applyBorder="1" applyAlignment="1">
      <alignment vertical="center" wrapText="1"/>
    </xf>
    <xf numFmtId="0" fontId="14" fillId="3" borderId="1" xfId="0" applyFont="1" applyFill="1" applyBorder="1" applyAlignment="1">
      <alignment horizontal="center" vertical="center"/>
    </xf>
    <xf numFmtId="0" fontId="15" fillId="3" borderId="1" xfId="0" applyFont="1" applyFill="1" applyBorder="1" applyAlignment="1">
      <alignment horizontal="left" vertical="center" wrapText="1"/>
    </xf>
    <xf numFmtId="10" fontId="15" fillId="3" borderId="1" xfId="0" applyNumberFormat="1" applyFont="1" applyFill="1" applyBorder="1" applyAlignment="1">
      <alignment horizontal="right" vertical="center" wrapText="1"/>
    </xf>
    <xf numFmtId="43" fontId="15" fillId="3" borderId="1" xfId="32" applyFont="1" applyFill="1" applyBorder="1" applyAlignment="1">
      <alignment vertical="center" wrapText="1"/>
    </xf>
    <xf numFmtId="2" fontId="15" fillId="3" borderId="3" xfId="4" applyNumberFormat="1" applyFont="1" applyFill="1" applyBorder="1" applyAlignment="1" applyProtection="1">
      <alignment horizontal="right" vertical="center" wrapText="1"/>
    </xf>
    <xf numFmtId="0" fontId="15" fillId="3" borderId="4" xfId="0" applyFont="1" applyFill="1" applyBorder="1" applyAlignment="1">
      <alignment horizontal="center" wrapText="1"/>
    </xf>
    <xf numFmtId="0" fontId="14" fillId="3" borderId="4" xfId="0" applyFont="1" applyFill="1" applyBorder="1" applyAlignment="1">
      <alignment horizontal="left" vertical="center" wrapText="1"/>
    </xf>
    <xf numFmtId="10" fontId="14" fillId="3" borderId="4" xfId="0" applyNumberFormat="1" applyFont="1" applyFill="1" applyBorder="1" applyAlignment="1">
      <alignment horizontal="right" vertical="center" wrapText="1"/>
    </xf>
    <xf numFmtId="164" fontId="14" fillId="3" borderId="4" xfId="4" applyFont="1" applyFill="1" applyBorder="1" applyAlignment="1">
      <alignment vertical="center" wrapText="1"/>
    </xf>
    <xf numFmtId="0" fontId="3" fillId="3" borderId="0" xfId="0" applyFont="1" applyFill="1" applyBorder="1"/>
    <xf numFmtId="0" fontId="14" fillId="3" borderId="2" xfId="0" applyFont="1" applyFill="1" applyBorder="1" applyAlignment="1">
      <alignment vertical="center" wrapText="1"/>
    </xf>
    <xf numFmtId="0" fontId="14" fillId="3" borderId="5" xfId="0" applyFont="1" applyFill="1" applyBorder="1" applyAlignment="1">
      <alignment vertical="center" wrapText="1"/>
    </xf>
    <xf numFmtId="10" fontId="15" fillId="3" borderId="1" xfId="0" applyNumberFormat="1" applyFont="1" applyFill="1" applyBorder="1" applyAlignment="1">
      <alignment vertical="center" wrapText="1"/>
    </xf>
    <xf numFmtId="2" fontId="15" fillId="3" borderId="1" xfId="4" applyNumberFormat="1" applyFont="1" applyFill="1" applyBorder="1" applyAlignment="1">
      <alignment vertical="center" wrapText="1"/>
    </xf>
    <xf numFmtId="10" fontId="14" fillId="3" borderId="5" xfId="0" applyNumberFormat="1" applyFont="1" applyFill="1" applyBorder="1" applyAlignment="1">
      <alignment vertical="center" wrapText="1"/>
    </xf>
    <xf numFmtId="164" fontId="14" fillId="3" borderId="4" xfId="4" applyFont="1" applyFill="1" applyBorder="1" applyAlignment="1">
      <alignment horizontal="center" vertical="top" wrapText="1"/>
    </xf>
    <xf numFmtId="0" fontId="15" fillId="3" borderId="5" xfId="0" applyFont="1" applyFill="1" applyBorder="1" applyAlignment="1">
      <alignment vertical="center" wrapText="1"/>
    </xf>
    <xf numFmtId="43" fontId="15" fillId="3" borderId="1" xfId="32" applyFont="1" applyFill="1" applyBorder="1" applyAlignment="1">
      <alignment horizontal="center" vertical="top" wrapText="1"/>
    </xf>
    <xf numFmtId="0" fontId="14" fillId="3" borderId="1" xfId="0" applyFont="1" applyFill="1" applyBorder="1" applyAlignment="1">
      <alignment horizontal="left" vertical="center" wrapText="1"/>
    </xf>
    <xf numFmtId="164" fontId="15" fillId="3" borderId="1" xfId="4" applyFont="1" applyFill="1" applyBorder="1" applyAlignment="1">
      <alignment horizontal="center" vertical="top" wrapText="1"/>
    </xf>
    <xf numFmtId="10" fontId="14" fillId="3" borderId="1" xfId="0" applyNumberFormat="1" applyFont="1" applyFill="1" applyBorder="1" applyAlignment="1">
      <alignment horizontal="right" vertical="top" wrapText="1"/>
    </xf>
    <xf numFmtId="164" fontId="14" fillId="3" borderId="1" xfId="4" applyFont="1" applyFill="1" applyBorder="1" applyAlignment="1">
      <alignment horizontal="center" vertical="top" wrapText="1"/>
    </xf>
    <xf numFmtId="0" fontId="15" fillId="3" borderId="1" xfId="0" applyFont="1" applyFill="1" applyBorder="1" applyAlignment="1">
      <alignment horizontal="right" wrapText="1"/>
    </xf>
    <xf numFmtId="164" fontId="15" fillId="3" borderId="1" xfId="4" applyFont="1" applyFill="1" applyBorder="1" applyAlignment="1">
      <alignment horizontal="center" vertical="center" wrapText="1"/>
    </xf>
    <xf numFmtId="2" fontId="15" fillId="3" borderId="1" xfId="4" applyNumberFormat="1" applyFont="1" applyFill="1" applyBorder="1" applyAlignment="1">
      <alignment vertical="top" wrapText="1"/>
    </xf>
    <xf numFmtId="2" fontId="15" fillId="3" borderId="1" xfId="4" applyNumberFormat="1" applyFont="1" applyFill="1" applyBorder="1" applyAlignment="1">
      <alignment horizontal="right" vertical="center" wrapText="1"/>
    </xf>
    <xf numFmtId="10" fontId="29" fillId="3" borderId="1" xfId="0" applyNumberFormat="1" applyFont="1" applyFill="1" applyBorder="1" applyAlignment="1">
      <alignment vertical="top" wrapText="1"/>
    </xf>
    <xf numFmtId="165" fontId="15" fillId="3" borderId="1" xfId="0" applyNumberFormat="1" applyFont="1" applyFill="1" applyBorder="1" applyAlignment="1">
      <alignment horizontal="left" vertical="top"/>
    </xf>
    <xf numFmtId="10" fontId="15" fillId="3" borderId="1" xfId="0" applyNumberFormat="1" applyFont="1" applyFill="1" applyBorder="1" applyAlignment="1">
      <alignment vertical="top" wrapText="1"/>
    </xf>
    <xf numFmtId="0" fontId="15" fillId="3" borderId="1" xfId="0" applyFont="1" applyFill="1" applyBorder="1" applyAlignment="1">
      <alignment horizontal="left" vertical="top" wrapText="1"/>
    </xf>
    <xf numFmtId="10" fontId="14" fillId="3" borderId="1" xfId="0" applyNumberFormat="1" applyFont="1" applyFill="1" applyBorder="1" applyAlignment="1">
      <alignment vertical="top" wrapText="1"/>
    </xf>
    <xf numFmtId="164" fontId="14" fillId="3" borderId="1" xfId="4" applyFont="1" applyFill="1" applyBorder="1" applyAlignment="1">
      <alignment horizontal="left" vertical="top"/>
    </xf>
    <xf numFmtId="0" fontId="15" fillId="3" borderId="1" xfId="0" applyFont="1" applyFill="1" applyBorder="1" applyAlignment="1">
      <alignment wrapText="1"/>
    </xf>
    <xf numFmtId="0" fontId="14" fillId="3" borderId="2" xfId="0" applyFont="1" applyFill="1" applyBorder="1" applyAlignment="1">
      <alignment horizontal="center" vertical="center" wrapText="1"/>
    </xf>
    <xf numFmtId="0" fontId="14" fillId="3" borderId="6" xfId="0" applyFont="1" applyFill="1" applyBorder="1" applyAlignment="1">
      <alignment vertical="center" wrapText="1"/>
    </xf>
    <xf numFmtId="0" fontId="14" fillId="3" borderId="0" xfId="0" applyFont="1" applyFill="1" applyBorder="1" applyAlignment="1">
      <alignment horizontal="center" vertical="center" wrapText="1"/>
    </xf>
    <xf numFmtId="10" fontId="15" fillId="3" borderId="1" xfId="20" applyNumberFormat="1"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2" xfId="0" applyFont="1" applyFill="1" applyBorder="1" applyAlignment="1">
      <alignment horizontal="left" vertical="center" wrapText="1"/>
    </xf>
    <xf numFmtId="43" fontId="14" fillId="3" borderId="1" xfId="32" applyFont="1" applyFill="1" applyBorder="1" applyAlignment="1">
      <alignment horizontal="center" vertical="top" wrapText="1"/>
    </xf>
    <xf numFmtId="43" fontId="15" fillId="3" borderId="1" xfId="32" applyFont="1" applyFill="1" applyBorder="1" applyAlignment="1">
      <alignment horizontal="center" vertical="center" wrapText="1"/>
    </xf>
    <xf numFmtId="43" fontId="14" fillId="3" borderId="1" xfId="32" applyFont="1" applyFill="1" applyBorder="1" applyAlignment="1">
      <alignment horizontal="center" vertical="top"/>
    </xf>
    <xf numFmtId="0" fontId="15" fillId="3" borderId="7" xfId="0" applyFont="1" applyFill="1" applyBorder="1" applyAlignment="1">
      <alignment horizontal="justify"/>
    </xf>
    <xf numFmtId="0" fontId="15" fillId="3" borderId="8" xfId="0" applyFont="1" applyFill="1" applyBorder="1"/>
    <xf numFmtId="0" fontId="15" fillId="3" borderId="9" xfId="0" applyFont="1" applyFill="1" applyBorder="1" applyAlignment="1">
      <alignment horizontal="center" vertical="top"/>
    </xf>
    <xf numFmtId="2" fontId="2" fillId="3" borderId="0" xfId="0" applyNumberFormat="1" applyFont="1" applyFill="1"/>
    <xf numFmtId="43" fontId="2" fillId="3" borderId="0" xfId="0" applyNumberFormat="1" applyFont="1" applyFill="1"/>
    <xf numFmtId="0" fontId="15" fillId="3" borderId="2"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0" fillId="3" borderId="0" xfId="0" applyFill="1" applyAlignment="1">
      <alignment vertical="center"/>
    </xf>
    <xf numFmtId="164" fontId="0" fillId="3" borderId="0" xfId="0" applyNumberFormat="1" applyFill="1" applyAlignment="1">
      <alignment vertical="center"/>
    </xf>
    <xf numFmtId="0" fontId="10" fillId="5" borderId="1" xfId="14" applyFont="1" applyFill="1" applyBorder="1" applyAlignment="1">
      <alignment horizontal="justify" vertical="center" wrapText="1"/>
    </xf>
    <xf numFmtId="0" fontId="5" fillId="6" borderId="1" xfId="14" applyFont="1" applyFill="1" applyBorder="1" applyAlignment="1">
      <alignment horizontal="justify" vertical="center" wrapText="1"/>
    </xf>
    <xf numFmtId="10" fontId="11" fillId="6" borderId="1" xfId="23" applyNumberFormat="1" applyFont="1" applyFill="1" applyBorder="1" applyAlignment="1" applyProtection="1">
      <alignment horizontal="center" vertical="center" wrapText="1"/>
    </xf>
    <xf numFmtId="0" fontId="10" fillId="6" borderId="1" xfId="14" applyFont="1" applyFill="1" applyBorder="1" applyAlignment="1">
      <alignment horizontal="right" vertical="center" wrapText="1"/>
    </xf>
    <xf numFmtId="10" fontId="27" fillId="6" borderId="1" xfId="23" applyNumberFormat="1" applyFont="1" applyFill="1" applyBorder="1" applyAlignment="1" applyProtection="1">
      <alignment horizontal="center" vertical="center" wrapText="1"/>
    </xf>
    <xf numFmtId="0" fontId="13" fillId="6" borderId="1" xfId="14" applyFont="1" applyFill="1" applyBorder="1" applyAlignment="1">
      <alignment horizontal="justify" vertical="center" wrapText="1"/>
    </xf>
    <xf numFmtId="10" fontId="11" fillId="7" borderId="1" xfId="23" applyNumberFormat="1" applyFont="1" applyFill="1" applyBorder="1" applyAlignment="1" applyProtection="1">
      <alignment horizontal="center" vertical="center" wrapText="1"/>
    </xf>
    <xf numFmtId="0" fontId="10" fillId="6" borderId="1" xfId="14" applyFont="1" applyFill="1" applyBorder="1" applyAlignment="1">
      <alignment vertical="center" wrapText="1"/>
    </xf>
    <xf numFmtId="0" fontId="28" fillId="5" borderId="1" xfId="14" applyFont="1" applyFill="1" applyBorder="1" applyAlignment="1">
      <alignment horizontal="center" vertical="center" wrapText="1"/>
    </xf>
    <xf numFmtId="10" fontId="28" fillId="5" borderId="1" xfId="23" applyNumberFormat="1" applyFont="1" applyFill="1" applyBorder="1" applyAlignment="1" applyProtection="1">
      <alignment horizontal="center" vertical="center" wrapText="1"/>
    </xf>
    <xf numFmtId="0" fontId="35" fillId="3" borderId="0" xfId="0" applyFont="1" applyFill="1" applyBorder="1" applyAlignment="1">
      <alignment horizontal="center" vertical="center"/>
    </xf>
    <xf numFmtId="2" fontId="36" fillId="3" borderId="0" xfId="32" applyNumberFormat="1" applyFont="1" applyFill="1" applyBorder="1" applyAlignment="1">
      <alignment horizontal="center" vertical="center"/>
    </xf>
    <xf numFmtId="0" fontId="35" fillId="3" borderId="0" xfId="0" applyFont="1" applyFill="1" applyBorder="1" applyAlignment="1">
      <alignment horizontal="center" vertical="center" wrapText="1"/>
    </xf>
    <xf numFmtId="40" fontId="15" fillId="3" borderId="1" xfId="32" applyNumberFormat="1" applyFont="1" applyFill="1" applyBorder="1" applyAlignment="1">
      <alignment vertical="center" wrapText="1"/>
    </xf>
    <xf numFmtId="0" fontId="25" fillId="3" borderId="0" xfId="0" applyFont="1" applyFill="1" applyBorder="1" applyAlignment="1">
      <alignment vertical="center"/>
    </xf>
    <xf numFmtId="0" fontId="25" fillId="9" borderId="6" xfId="0" applyFont="1" applyFill="1" applyBorder="1" applyAlignment="1">
      <alignment horizontal="center" vertical="center"/>
    </xf>
    <xf numFmtId="0" fontId="0" fillId="3" borderId="6" xfId="0" applyFill="1" applyBorder="1" applyAlignment="1">
      <alignment horizontal="center" vertical="center"/>
    </xf>
    <xf numFmtId="8" fontId="0" fillId="3" borderId="6" xfId="0" applyNumberFormat="1" applyFill="1" applyBorder="1" applyAlignment="1">
      <alignment horizontal="center" vertical="center"/>
    </xf>
    <xf numFmtId="8" fontId="39" fillId="11" borderId="6" xfId="0" applyNumberFormat="1" applyFont="1" applyFill="1" applyBorder="1" applyAlignment="1">
      <alignment vertical="center"/>
    </xf>
    <xf numFmtId="8" fontId="39" fillId="11" borderId="15" xfId="0" applyNumberFormat="1" applyFont="1" applyFill="1" applyBorder="1" applyAlignment="1">
      <alignment vertical="center"/>
    </xf>
    <xf numFmtId="0" fontId="25" fillId="9" borderId="15" xfId="0" applyFont="1" applyFill="1" applyBorder="1" applyAlignment="1">
      <alignment horizontal="center" vertical="center"/>
    </xf>
    <xf numFmtId="0" fontId="0" fillId="3" borderId="15" xfId="0" applyFill="1" applyBorder="1" applyAlignment="1">
      <alignment horizontal="center" vertical="center"/>
    </xf>
    <xf numFmtId="0" fontId="25" fillId="9" borderId="6" xfId="0" applyFont="1" applyFill="1" applyBorder="1" applyAlignment="1">
      <alignment horizontal="center" vertical="center" wrapText="1"/>
    </xf>
    <xf numFmtId="0" fontId="0" fillId="0" borderId="0" xfId="0" applyAlignment="1">
      <alignment horizontal="left" wrapText="1"/>
    </xf>
    <xf numFmtId="8" fontId="40" fillId="11" borderId="10" xfId="0" applyNumberFormat="1" applyFont="1" applyFill="1" applyBorder="1" applyAlignment="1">
      <alignment vertical="center"/>
    </xf>
    <xf numFmtId="8" fontId="40" fillId="11" borderId="15" xfId="0" applyNumberFormat="1" applyFont="1" applyFill="1" applyBorder="1" applyAlignment="1">
      <alignment vertical="center"/>
    </xf>
    <xf numFmtId="0" fontId="41" fillId="0" borderId="0" xfId="0" applyFont="1" applyFill="1" applyBorder="1" applyAlignment="1">
      <alignment vertical="center"/>
    </xf>
    <xf numFmtId="0" fontId="30" fillId="0" borderId="0" xfId="0" applyFont="1" applyFill="1" applyBorder="1" applyAlignment="1">
      <alignment vertical="center"/>
    </xf>
    <xf numFmtId="0" fontId="43" fillId="0" borderId="0" xfId="0" applyFont="1" applyBorder="1" applyAlignment="1">
      <alignment horizontal="center" vertical="center" wrapText="1"/>
    </xf>
    <xf numFmtId="0" fontId="43" fillId="3" borderId="0" xfId="0" applyFont="1" applyFill="1" applyBorder="1" applyAlignment="1">
      <alignment horizontal="center"/>
    </xf>
    <xf numFmtId="0" fontId="43" fillId="0" borderId="0" xfId="0" applyFont="1" applyAlignment="1">
      <alignment horizontal="center"/>
    </xf>
    <xf numFmtId="164" fontId="43" fillId="3" borderId="0" xfId="0" applyNumberFormat="1" applyFont="1" applyFill="1" applyBorder="1" applyAlignment="1">
      <alignment horizontal="center"/>
    </xf>
    <xf numFmtId="0" fontId="43" fillId="0" borderId="0" xfId="0" applyFont="1" applyAlignment="1">
      <alignment horizontal="center" vertical="center"/>
    </xf>
    <xf numFmtId="0" fontId="25" fillId="9" borderId="15"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8" fontId="0" fillId="3" borderId="1" xfId="0" applyNumberFormat="1" applyFill="1" applyBorder="1" applyAlignment="1">
      <alignment horizontal="center" vertical="center"/>
    </xf>
    <xf numFmtId="170" fontId="0" fillId="3" borderId="1" xfId="32" applyNumberFormat="1" applyFont="1" applyFill="1" applyBorder="1" applyAlignment="1">
      <alignment horizontal="center" vertical="center"/>
    </xf>
    <xf numFmtId="0" fontId="25" fillId="9" borderId="1" xfId="0" applyFont="1" applyFill="1" applyBorder="1" applyAlignment="1">
      <alignment horizontal="center" vertical="center" wrapText="1"/>
    </xf>
    <xf numFmtId="170" fontId="0" fillId="3" borderId="1" xfId="0" applyNumberFormat="1" applyFill="1" applyBorder="1" applyAlignment="1">
      <alignment horizontal="center" vertical="center"/>
    </xf>
    <xf numFmtId="0" fontId="44" fillId="0" borderId="0" xfId="0" applyFont="1" applyBorder="1"/>
    <xf numFmtId="0" fontId="45" fillId="0" borderId="0" xfId="0" applyFont="1" applyBorder="1" applyAlignment="1">
      <alignment horizontal="left"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45" fillId="0" borderId="0" xfId="0" applyFont="1" applyAlignment="1">
      <alignment horizontal="left" wrapText="1"/>
    </xf>
    <xf numFmtId="0" fontId="45" fillId="0" borderId="0" xfId="0" applyFont="1" applyAlignment="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20" fillId="3" borderId="0" xfId="0" applyFont="1" applyFill="1" applyBorder="1" applyAlignment="1">
      <alignment horizontal="center" vertical="center"/>
    </xf>
    <xf numFmtId="0" fontId="15" fillId="3" borderId="2"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0" fillId="0" borderId="0" xfId="0" quotePrefix="1"/>
    <xf numFmtId="0" fontId="20" fillId="3" borderId="0" xfId="0" applyFont="1" applyFill="1" applyBorder="1" applyAlignment="1">
      <alignment horizontal="left" vertical="center" wrapText="1"/>
    </xf>
    <xf numFmtId="0" fontId="32" fillId="3" borderId="0" xfId="0" applyFont="1" applyFill="1" applyBorder="1" applyAlignment="1">
      <alignment horizontal="center" vertical="center"/>
    </xf>
    <xf numFmtId="164" fontId="25" fillId="3" borderId="0" xfId="4" applyFont="1" applyFill="1" applyBorder="1" applyAlignment="1">
      <alignment horizontal="center" vertical="center"/>
    </xf>
    <xf numFmtId="0" fontId="11" fillId="6" borderId="1" xfId="14" applyFont="1" applyFill="1" applyBorder="1" applyAlignment="1">
      <alignment horizontal="justify" vertical="center" wrapText="1"/>
    </xf>
    <xf numFmtId="172" fontId="0" fillId="3" borderId="0" xfId="32" applyNumberFormat="1" applyFont="1" applyFill="1" applyAlignment="1">
      <alignment vertical="center"/>
    </xf>
    <xf numFmtId="173" fontId="0" fillId="3" borderId="0" xfId="0" applyNumberFormat="1" applyFill="1" applyAlignment="1">
      <alignment vertical="center"/>
    </xf>
    <xf numFmtId="170" fontId="46" fillId="3" borderId="1" xfId="32" applyNumberFormat="1" applyFont="1" applyFill="1" applyBorder="1" applyAlignment="1">
      <alignment horizontal="center" vertical="center"/>
    </xf>
    <xf numFmtId="8" fontId="0" fillId="0" borderId="0" xfId="0" applyNumberFormat="1"/>
    <xf numFmtId="0" fontId="15" fillId="3" borderId="2" xfId="0" applyFont="1" applyFill="1" applyBorder="1" applyAlignment="1">
      <alignment horizontal="left" vertical="center" wrapText="1"/>
    </xf>
    <xf numFmtId="0" fontId="0" fillId="0" borderId="0" xfId="0" applyAlignment="1">
      <alignment horizontal="center"/>
    </xf>
    <xf numFmtId="8" fontId="0" fillId="4" borderId="6" xfId="0" applyNumberFormat="1" applyFill="1" applyBorder="1" applyAlignment="1">
      <alignment horizontal="center" vertical="center"/>
    </xf>
    <xf numFmtId="8" fontId="0" fillId="4" borderId="15" xfId="0" applyNumberFormat="1" applyFill="1" applyBorder="1" applyAlignment="1">
      <alignment horizontal="center" vertical="center"/>
    </xf>
    <xf numFmtId="8" fontId="0" fillId="4" borderId="1" xfId="0" applyNumberFormat="1" applyFill="1" applyBorder="1" applyAlignment="1">
      <alignment horizontal="center" vertical="center"/>
    </xf>
    <xf numFmtId="0" fontId="14" fillId="3" borderId="17" xfId="0" applyFont="1" applyFill="1" applyBorder="1" applyAlignment="1">
      <alignment horizontal="left" vertical="center" wrapText="1"/>
    </xf>
    <xf numFmtId="0" fontId="14" fillId="3" borderId="16" xfId="0" applyFont="1" applyFill="1" applyBorder="1" applyAlignment="1">
      <alignment horizontal="left" vertical="center" wrapText="1"/>
    </xf>
    <xf numFmtId="43" fontId="14" fillId="3" borderId="18" xfId="32" applyFont="1" applyFill="1" applyBorder="1" applyAlignment="1">
      <alignment horizontal="center" vertical="top"/>
    </xf>
    <xf numFmtId="0" fontId="43"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164" fontId="43" fillId="0" borderId="1" xfId="0" applyNumberFormat="1" applyFont="1" applyFill="1" applyBorder="1" applyAlignment="1">
      <alignment horizontal="center" vertical="center" wrapText="1"/>
    </xf>
    <xf numFmtId="164" fontId="43" fillId="12" borderId="1" xfId="0" applyNumberFormat="1" applyFont="1" applyFill="1" applyBorder="1" applyAlignment="1">
      <alignment horizontal="center"/>
    </xf>
    <xf numFmtId="164" fontId="43" fillId="13" borderId="1" xfId="0" applyNumberFormat="1" applyFont="1" applyFill="1" applyBorder="1" applyAlignment="1">
      <alignment horizontal="center"/>
    </xf>
    <xf numFmtId="171" fontId="43" fillId="0" borderId="1" xfId="0" applyNumberFormat="1" applyFont="1" applyFill="1" applyBorder="1" applyAlignment="1">
      <alignment horizontal="center" vertical="center" wrapText="1"/>
    </xf>
    <xf numFmtId="164" fontId="43" fillId="14" borderId="1" xfId="0" applyNumberFormat="1" applyFont="1" applyFill="1" applyBorder="1" applyAlignment="1">
      <alignment horizontal="center"/>
    </xf>
    <xf numFmtId="164" fontId="43" fillId="15" borderId="1" xfId="0" applyNumberFormat="1" applyFont="1" applyFill="1" applyBorder="1" applyAlignment="1">
      <alignment horizontal="center"/>
    </xf>
    <xf numFmtId="4" fontId="43" fillId="0" borderId="1" xfId="0" applyNumberFormat="1" applyFont="1" applyFill="1" applyBorder="1" applyAlignment="1">
      <alignment horizontal="center" vertical="center" wrapText="1"/>
    </xf>
    <xf numFmtId="0" fontId="43" fillId="0" borderId="1" xfId="0" applyFont="1" applyBorder="1" applyAlignment="1">
      <alignment horizontal="center" vertical="center" wrapText="1"/>
    </xf>
    <xf numFmtId="0" fontId="45" fillId="0" borderId="0" xfId="0" applyFont="1" applyAlignment="1">
      <alignment horizontal="left" wrapText="1"/>
    </xf>
    <xf numFmtId="0" fontId="15" fillId="3" borderId="2"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43" fillId="16" borderId="1" xfId="0" applyFont="1" applyFill="1" applyBorder="1" applyAlignment="1">
      <alignment horizontal="center" vertical="center" wrapText="1"/>
    </xf>
    <xf numFmtId="0" fontId="43" fillId="0" borderId="0" xfId="0" applyFont="1" applyAlignment="1">
      <alignment horizontal="center" vertical="center"/>
    </xf>
    <xf numFmtId="0" fontId="43" fillId="0" borderId="1" xfId="0" applyFont="1" applyFill="1" applyBorder="1" applyAlignment="1">
      <alignment horizontal="left" vertical="center" wrapText="1"/>
    </xf>
    <xf numFmtId="0" fontId="43" fillId="0" borderId="1" xfId="0" applyFont="1" applyFill="1" applyBorder="1" applyAlignment="1">
      <alignment horizontal="left"/>
    </xf>
    <xf numFmtId="4" fontId="43" fillId="16" borderId="1" xfId="0" applyNumberFormat="1" applyFont="1" applyFill="1" applyBorder="1" applyAlignment="1">
      <alignment horizontal="center"/>
    </xf>
    <xf numFmtId="0" fontId="0" fillId="3" borderId="1" xfId="0" applyFill="1" applyBorder="1" applyAlignment="1">
      <alignment horizontal="center" vertical="center" wrapText="1"/>
    </xf>
    <xf numFmtId="0" fontId="43"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0" fillId="3" borderId="2"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9" fillId="2" borderId="2" xfId="0" applyFont="1" applyFill="1" applyBorder="1" applyAlignment="1">
      <alignment horizontal="center" vertical="center"/>
    </xf>
    <xf numFmtId="0" fontId="49" fillId="2" borderId="6" xfId="0" applyFont="1" applyFill="1" applyBorder="1" applyAlignment="1">
      <alignment horizontal="center" vertical="center"/>
    </xf>
    <xf numFmtId="0" fontId="49" fillId="2" borderId="5" xfId="0" applyFont="1" applyFill="1" applyBorder="1" applyAlignment="1">
      <alignment horizontal="center" vertical="center"/>
    </xf>
    <xf numFmtId="0" fontId="25" fillId="2" borderId="10" xfId="0" applyFont="1" applyFill="1" applyBorder="1" applyAlignment="1">
      <alignment horizontal="center" vertical="center"/>
    </xf>
    <xf numFmtId="0" fontId="31" fillId="3" borderId="1" xfId="0" applyFont="1" applyFill="1" applyBorder="1" applyAlignment="1">
      <alignment horizontal="left" vertical="center" wrapText="1"/>
    </xf>
    <xf numFmtId="0" fontId="0" fillId="3" borderId="0" xfId="0" applyFill="1" applyAlignment="1">
      <alignment horizontal="center" vertical="center"/>
    </xf>
    <xf numFmtId="0" fontId="39" fillId="11" borderId="15" xfId="0" applyFont="1" applyFill="1" applyBorder="1" applyAlignment="1">
      <alignment horizontal="right" vertical="center"/>
    </xf>
    <xf numFmtId="0" fontId="30" fillId="8" borderId="10" xfId="0" applyFont="1" applyFill="1" applyBorder="1" applyAlignment="1">
      <alignment horizontal="center" vertical="center"/>
    </xf>
    <xf numFmtId="0" fontId="30" fillId="10" borderId="0" xfId="0" applyFont="1" applyFill="1" applyBorder="1" applyAlignment="1">
      <alignment horizontal="center" vertical="center"/>
    </xf>
    <xf numFmtId="0" fontId="44" fillId="0" borderId="0" xfId="0" applyFont="1" applyBorder="1" applyAlignment="1">
      <alignment horizontal="right" vertical="center"/>
    </xf>
    <xf numFmtId="43" fontId="44" fillId="0" borderId="0" xfId="32" applyFont="1" applyBorder="1" applyAlignment="1">
      <alignment horizontal="right" vertical="center"/>
    </xf>
    <xf numFmtId="0" fontId="45" fillId="0" borderId="0" xfId="0" applyFont="1" applyAlignment="1">
      <alignment horizontal="left" wrapText="1"/>
    </xf>
    <xf numFmtId="0" fontId="40" fillId="11" borderId="16" xfId="0" applyFont="1" applyFill="1" applyBorder="1" applyAlignment="1">
      <alignment horizontal="right" vertical="center"/>
    </xf>
    <xf numFmtId="0" fontId="40" fillId="11" borderId="15" xfId="0" applyFont="1" applyFill="1" applyBorder="1" applyAlignment="1">
      <alignment horizontal="right" vertical="center"/>
    </xf>
    <xf numFmtId="0" fontId="40" fillId="11" borderId="10" xfId="0" applyFont="1" applyFill="1" applyBorder="1" applyAlignment="1">
      <alignment horizontal="right" vertical="center"/>
    </xf>
    <xf numFmtId="0" fontId="43" fillId="16" borderId="1" xfId="0" applyFont="1" applyFill="1" applyBorder="1" applyAlignment="1">
      <alignment horizontal="center" vertical="center" wrapText="1"/>
    </xf>
    <xf numFmtId="0" fontId="43" fillId="16" borderId="2" xfId="0" applyFont="1" applyFill="1" applyBorder="1" applyAlignment="1">
      <alignment horizontal="center" vertical="center" wrapText="1"/>
    </xf>
    <xf numFmtId="0" fontId="43" fillId="16" borderId="15" xfId="0" applyFont="1" applyFill="1" applyBorder="1" applyAlignment="1">
      <alignment horizontal="center" vertical="center" wrapText="1"/>
    </xf>
    <xf numFmtId="0" fontId="43" fillId="16" borderId="5" xfId="0" applyFont="1" applyFill="1" applyBorder="1" applyAlignment="1">
      <alignment horizontal="center" vertical="center" wrapText="1"/>
    </xf>
    <xf numFmtId="0" fontId="43" fillId="14" borderId="1" xfId="0" applyFont="1" applyFill="1" applyBorder="1" applyAlignment="1">
      <alignment horizontal="center" vertical="center" wrapText="1"/>
    </xf>
    <xf numFmtId="0" fontId="43" fillId="0" borderId="2" xfId="0" applyFont="1" applyFill="1" applyBorder="1" applyAlignment="1">
      <alignment horizontal="center"/>
    </xf>
    <xf numFmtId="0" fontId="43" fillId="0" borderId="15" xfId="0" applyFont="1" applyFill="1" applyBorder="1" applyAlignment="1">
      <alignment horizontal="center"/>
    </xf>
    <xf numFmtId="0" fontId="43" fillId="0" borderId="5" xfId="0" applyFont="1" applyFill="1" applyBorder="1" applyAlignment="1">
      <alignment horizontal="center"/>
    </xf>
    <xf numFmtId="0" fontId="43" fillId="15"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12" borderId="1" xfId="0" applyFont="1" applyFill="1" applyBorder="1" applyAlignment="1">
      <alignment horizontal="center" vertical="center" wrapText="1"/>
    </xf>
    <xf numFmtId="0" fontId="43" fillId="0" borderId="1" xfId="0" applyFont="1" applyFill="1" applyBorder="1" applyAlignment="1">
      <alignment horizontal="center"/>
    </xf>
    <xf numFmtId="0" fontId="43" fillId="13" borderId="1" xfId="0" applyFont="1" applyFill="1" applyBorder="1" applyAlignment="1">
      <alignment horizontal="center" vertical="center" wrapText="1"/>
    </xf>
    <xf numFmtId="0" fontId="42"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12" fillId="6" borderId="1" xfId="14" applyFont="1" applyFill="1" applyBorder="1" applyAlignment="1">
      <alignment horizontal="center" vertical="center" wrapText="1"/>
    </xf>
    <xf numFmtId="0" fontId="10" fillId="5" borderId="1" xfId="14" applyFont="1" applyFill="1" applyBorder="1" applyAlignment="1">
      <alignment horizontal="left" vertical="center" wrapText="1"/>
    </xf>
    <xf numFmtId="0" fontId="20" fillId="3" borderId="0" xfId="0" applyFont="1" applyFill="1" applyBorder="1" applyAlignment="1">
      <alignment horizontal="center" vertical="center" wrapText="1"/>
    </xf>
    <xf numFmtId="0" fontId="20" fillId="3" borderId="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3" borderId="0" xfId="0" applyFont="1" applyFill="1" applyBorder="1" applyAlignment="1">
      <alignment horizontal="center" vertic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14" fillId="3" borderId="2" xfId="0" applyFont="1" applyFill="1" applyBorder="1" applyAlignment="1">
      <alignment horizontal="left" vertical="top" wrapText="1"/>
    </xf>
    <xf numFmtId="0" fontId="14" fillId="3" borderId="5" xfId="0" applyFont="1" applyFill="1" applyBorder="1" applyAlignment="1">
      <alignment horizontal="left" vertical="top" wrapText="1"/>
    </xf>
    <xf numFmtId="0" fontId="14" fillId="3" borderId="2" xfId="0" applyFont="1" applyFill="1" applyBorder="1" applyAlignment="1">
      <alignment horizontal="left" vertical="center"/>
    </xf>
    <xf numFmtId="0" fontId="14" fillId="3" borderId="6" xfId="0" applyFont="1" applyFill="1" applyBorder="1" applyAlignment="1">
      <alignment horizontal="left" vertical="center"/>
    </xf>
    <xf numFmtId="0" fontId="14" fillId="3" borderId="5" xfId="0" applyFont="1" applyFill="1" applyBorder="1" applyAlignment="1">
      <alignment horizontal="left" vertical="center"/>
    </xf>
    <xf numFmtId="0" fontId="29" fillId="3" borderId="2"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5" xfId="0" applyFont="1" applyFill="1" applyBorder="1" applyAlignment="1">
      <alignment horizontal="center" vertical="center"/>
    </xf>
    <xf numFmtId="0" fontId="33" fillId="3" borderId="2" xfId="0" applyFont="1" applyFill="1" applyBorder="1" applyAlignment="1">
      <alignment horizontal="center" vertical="center"/>
    </xf>
    <xf numFmtId="0" fontId="33" fillId="3" borderId="6" xfId="0" applyFont="1" applyFill="1" applyBorder="1" applyAlignment="1">
      <alignment horizontal="center" vertical="center"/>
    </xf>
    <xf numFmtId="0" fontId="33" fillId="3" borderId="5" xfId="0" applyFont="1" applyFill="1" applyBorder="1" applyAlignment="1">
      <alignment horizontal="center" vertical="center"/>
    </xf>
    <xf numFmtId="0" fontId="15" fillId="3" borderId="2" xfId="0" applyFont="1" applyFill="1" applyBorder="1" applyAlignment="1">
      <alignment horizontal="center" vertical="top"/>
    </xf>
    <xf numFmtId="0" fontId="15" fillId="3" borderId="5" xfId="0" applyFont="1" applyFill="1" applyBorder="1" applyAlignment="1">
      <alignment horizontal="center" vertical="top"/>
    </xf>
    <xf numFmtId="0" fontId="15" fillId="3" borderId="2" xfId="0" applyFont="1" applyFill="1" applyBorder="1" applyAlignment="1">
      <alignment horizontal="center" vertical="center" wrapText="1"/>
    </xf>
    <xf numFmtId="0" fontId="15" fillId="3" borderId="5" xfId="0" applyFont="1" applyFill="1" applyBorder="1" applyAlignment="1">
      <alignment horizontal="center" vertical="center" wrapText="1"/>
    </xf>
    <xf numFmtId="164" fontId="14" fillId="3" borderId="2" xfId="4" applyFont="1" applyFill="1" applyBorder="1" applyAlignment="1">
      <alignment horizontal="center" vertical="center"/>
    </xf>
    <xf numFmtId="164" fontId="14" fillId="3" borderId="5" xfId="4" applyFont="1" applyFill="1" applyBorder="1" applyAlignment="1">
      <alignment horizontal="center" vertical="center"/>
    </xf>
    <xf numFmtId="0" fontId="33" fillId="3" borderId="2" xfId="0" applyFont="1" applyFill="1" applyBorder="1" applyAlignment="1">
      <alignment horizontal="left" vertical="top" wrapText="1"/>
    </xf>
    <xf numFmtId="0" fontId="33" fillId="3" borderId="6" xfId="0" applyFont="1" applyFill="1" applyBorder="1" applyAlignment="1">
      <alignment horizontal="left" vertical="top"/>
    </xf>
    <xf numFmtId="0" fontId="33" fillId="3" borderId="5" xfId="0" applyFont="1" applyFill="1" applyBorder="1" applyAlignment="1">
      <alignment horizontal="left" vertical="top"/>
    </xf>
    <xf numFmtId="0" fontId="4" fillId="2" borderId="13" xfId="0" applyFont="1" applyFill="1" applyBorder="1" applyAlignment="1">
      <alignment horizontal="center"/>
    </xf>
    <xf numFmtId="0" fontId="4" fillId="2" borderId="10" xfId="0" applyFont="1" applyFill="1" applyBorder="1" applyAlignment="1">
      <alignment horizontal="center"/>
    </xf>
    <xf numFmtId="0" fontId="4" fillId="2" borderId="14" xfId="0" applyFont="1" applyFill="1" applyBorder="1" applyAlignment="1">
      <alignment horizontal="center"/>
    </xf>
    <xf numFmtId="0" fontId="14" fillId="3" borderId="2"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5" fillId="3" borderId="2" xfId="0" applyFont="1" applyFill="1" applyBorder="1" applyAlignment="1">
      <alignment horizontal="left" vertical="center" wrapText="1"/>
    </xf>
    <xf numFmtId="0" fontId="15" fillId="3" borderId="5" xfId="0" applyFont="1" applyFill="1" applyBorder="1" applyAlignment="1">
      <alignment horizontal="left" vertical="center" wrapText="1"/>
    </xf>
    <xf numFmtId="43" fontId="14" fillId="3" borderId="2" xfId="32" applyFont="1" applyFill="1" applyBorder="1" applyAlignment="1">
      <alignment horizontal="center" vertical="center"/>
    </xf>
    <xf numFmtId="43" fontId="14" fillId="3" borderId="5" xfId="32" applyFont="1" applyFill="1" applyBorder="1" applyAlignment="1">
      <alignment horizontal="center" vertical="center"/>
    </xf>
    <xf numFmtId="0" fontId="15" fillId="3" borderId="2" xfId="0" applyFont="1" applyFill="1" applyBorder="1" applyAlignment="1">
      <alignment horizontal="center" wrapText="1"/>
    </xf>
    <xf numFmtId="0" fontId="15" fillId="3" borderId="6" xfId="0" applyFont="1" applyFill="1" applyBorder="1" applyAlignment="1">
      <alignment horizontal="center" wrapText="1"/>
    </xf>
    <xf numFmtId="0" fontId="15" fillId="3" borderId="5" xfId="0" applyFont="1" applyFill="1" applyBorder="1" applyAlignment="1">
      <alignment horizontal="center" wrapText="1"/>
    </xf>
    <xf numFmtId="49" fontId="15" fillId="3" borderId="2" xfId="0" applyNumberFormat="1" applyFont="1" applyFill="1" applyBorder="1" applyAlignment="1">
      <alignment horizontal="center" vertical="top"/>
    </xf>
    <xf numFmtId="49" fontId="15" fillId="3" borderId="5" xfId="0" applyNumberFormat="1" applyFont="1" applyFill="1" applyBorder="1" applyAlignment="1">
      <alignment horizontal="center" vertical="top"/>
    </xf>
    <xf numFmtId="0" fontId="14" fillId="3" borderId="2"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5" xfId="0" applyFont="1" applyFill="1" applyBorder="1" applyAlignment="1">
      <alignment horizontal="center" vertical="center"/>
    </xf>
    <xf numFmtId="0" fontId="33" fillId="3" borderId="2"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15" fillId="3" borderId="2" xfId="0" applyFont="1" applyFill="1" applyBorder="1" applyAlignment="1">
      <alignment horizontal="center"/>
    </xf>
    <xf numFmtId="0" fontId="15" fillId="3" borderId="6" xfId="0" applyFont="1" applyFill="1" applyBorder="1" applyAlignment="1">
      <alignment horizontal="center"/>
    </xf>
    <xf numFmtId="0" fontId="15" fillId="3" borderId="5" xfId="0" applyFont="1" applyFill="1" applyBorder="1" applyAlignment="1">
      <alignment horizontal="center"/>
    </xf>
  </cellXfs>
  <cellStyles count="34">
    <cellStyle name="Euro" xfId="1" xr:uid="{00000000-0005-0000-0000-000000000000}"/>
    <cellStyle name="Hyperlink 2" xfId="2" xr:uid="{00000000-0005-0000-0000-000001000000}"/>
    <cellStyle name="Hyperlink 3" xfId="3" xr:uid="{00000000-0005-0000-0000-000002000000}"/>
    <cellStyle name="Moeda" xfId="4" builtinId="4"/>
    <cellStyle name="Moeda 2" xfId="5" xr:uid="{00000000-0005-0000-0000-000004000000}"/>
    <cellStyle name="Moeda 2 2" xfId="6" xr:uid="{00000000-0005-0000-0000-000005000000}"/>
    <cellStyle name="Moeda 2 3" xfId="7" xr:uid="{00000000-0005-0000-0000-000006000000}"/>
    <cellStyle name="Moeda 3" xfId="8" xr:uid="{00000000-0005-0000-0000-000007000000}"/>
    <cellStyle name="Moeda 4" xfId="9" xr:uid="{00000000-0005-0000-0000-000008000000}"/>
    <cellStyle name="Moeda 5" xfId="10" xr:uid="{00000000-0005-0000-0000-000009000000}"/>
    <cellStyle name="Moeda 6" xfId="11" xr:uid="{00000000-0005-0000-0000-00000A000000}"/>
    <cellStyle name="Moeda 7" xfId="12" xr:uid="{00000000-0005-0000-0000-00000B000000}"/>
    <cellStyle name="Normal" xfId="0" builtinId="0"/>
    <cellStyle name="Normal 2" xfId="13" xr:uid="{00000000-0005-0000-0000-00000D000000}"/>
    <cellStyle name="Normal 2 2" xfId="14" xr:uid="{00000000-0005-0000-0000-00000E000000}"/>
    <cellStyle name="Normal 3" xfId="15" xr:uid="{00000000-0005-0000-0000-00000F000000}"/>
    <cellStyle name="Normal 4" xfId="16" xr:uid="{00000000-0005-0000-0000-000010000000}"/>
    <cellStyle name="Normal 5" xfId="17" xr:uid="{00000000-0005-0000-0000-000011000000}"/>
    <cellStyle name="Normal 6" xfId="18" xr:uid="{00000000-0005-0000-0000-000012000000}"/>
    <cellStyle name="Normal 7" xfId="19" xr:uid="{00000000-0005-0000-0000-000013000000}"/>
    <cellStyle name="Porcentagem" xfId="20" builtinId="5"/>
    <cellStyle name="Porcentagem 2" xfId="21" xr:uid="{00000000-0005-0000-0000-000015000000}"/>
    <cellStyle name="Porcentagem 3" xfId="22" xr:uid="{00000000-0005-0000-0000-000016000000}"/>
    <cellStyle name="Porcentagem 3 2" xfId="23" xr:uid="{00000000-0005-0000-0000-000017000000}"/>
    <cellStyle name="Porcentagem 4" xfId="24" xr:uid="{00000000-0005-0000-0000-000018000000}"/>
    <cellStyle name="Porcentagem 5" xfId="25" xr:uid="{00000000-0005-0000-0000-000019000000}"/>
    <cellStyle name="Separador de milhares 2" xfId="26" xr:uid="{00000000-0005-0000-0000-00001A000000}"/>
    <cellStyle name="Separador de milhares 2 2" xfId="27" xr:uid="{00000000-0005-0000-0000-00001B000000}"/>
    <cellStyle name="Separador de milhares 2 3" xfId="28" xr:uid="{00000000-0005-0000-0000-00001C000000}"/>
    <cellStyle name="Separador de milhares 3" xfId="29" xr:uid="{00000000-0005-0000-0000-00001D000000}"/>
    <cellStyle name="Separador de milhares 4" xfId="30" xr:uid="{00000000-0005-0000-0000-00001E000000}"/>
    <cellStyle name="Separador de milhares 5" xfId="31" xr:uid="{00000000-0005-0000-0000-00001F000000}"/>
    <cellStyle name="Vírgula" xfId="32" builtinId="3"/>
    <cellStyle name="Vírgula 2" xfId="33" xr:uid="{00000000-0005-0000-0000-00002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10</xdr:col>
      <xdr:colOff>314325</xdr:colOff>
      <xdr:row>26</xdr:row>
      <xdr:rowOff>19050</xdr:rowOff>
    </xdr:from>
    <xdr:to>
      <xdr:col>10</xdr:col>
      <xdr:colOff>1304925</xdr:colOff>
      <xdr:row>27</xdr:row>
      <xdr:rowOff>0</xdr:rowOff>
    </xdr:to>
    <xdr:sp macro="" textlink="">
      <xdr:nvSpPr>
        <xdr:cNvPr id="2" name="Seta: para a Esquerda 1">
          <a:extLst>
            <a:ext uri="{FF2B5EF4-FFF2-40B4-BE49-F238E27FC236}">
              <a16:creationId xmlns:a16="http://schemas.microsoft.com/office/drawing/2014/main" id="{0FBDD32A-22C2-4D43-ABB6-9D86C96400D1}"/>
            </a:ext>
          </a:extLst>
        </xdr:cNvPr>
        <xdr:cNvSpPr/>
      </xdr:nvSpPr>
      <xdr:spPr>
        <a:xfrm>
          <a:off x="11687175" y="14878050"/>
          <a:ext cx="990600" cy="1714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pt-BR" sz="1100"/>
        </a:p>
      </xdr:txBody>
    </xdr:sp>
    <xdr:clientData/>
  </xdr:twoCellAnchor>
  <xdr:twoCellAnchor>
    <xdr:from>
      <xdr:col>11</xdr:col>
      <xdr:colOff>85724</xdr:colOff>
      <xdr:row>25</xdr:row>
      <xdr:rowOff>38099</xdr:rowOff>
    </xdr:from>
    <xdr:to>
      <xdr:col>12</xdr:col>
      <xdr:colOff>1028700</xdr:colOff>
      <xdr:row>28</xdr:row>
      <xdr:rowOff>85725</xdr:rowOff>
    </xdr:to>
    <xdr:sp macro="" textlink="">
      <xdr:nvSpPr>
        <xdr:cNvPr id="3" name="CaixaDeTexto 2">
          <a:extLst>
            <a:ext uri="{FF2B5EF4-FFF2-40B4-BE49-F238E27FC236}">
              <a16:creationId xmlns:a16="http://schemas.microsoft.com/office/drawing/2014/main" id="{3563F366-15D3-4CC1-AF8D-ACA8CAE9B151}"/>
            </a:ext>
          </a:extLst>
        </xdr:cNvPr>
        <xdr:cNvSpPr txBox="1"/>
      </xdr:nvSpPr>
      <xdr:spPr>
        <a:xfrm>
          <a:off x="12792074" y="14706599"/>
          <a:ext cx="2276476" cy="619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solidFill>
                <a:srgbClr val="C00000"/>
              </a:solidFill>
            </a:rPr>
            <a:t>O</a:t>
          </a:r>
          <a:r>
            <a:rPr lang="pt-BR" sz="1100" b="1" baseline="0">
              <a:solidFill>
                <a:srgbClr val="C00000"/>
              </a:solidFill>
            </a:rPr>
            <a:t> denominador deve ser o número de serventes estimados. No exemplo, 21.</a:t>
          </a:r>
          <a:endParaRPr lang="pt-BR" sz="11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114300</xdr:colOff>
      <xdr:row>59</xdr:row>
      <xdr:rowOff>28576</xdr:rowOff>
    </xdr:from>
    <xdr:to>
      <xdr:col>11</xdr:col>
      <xdr:colOff>1104900</xdr:colOff>
      <xdr:row>60</xdr:row>
      <xdr:rowOff>9526</xdr:rowOff>
    </xdr:to>
    <xdr:sp macro="" textlink="">
      <xdr:nvSpPr>
        <xdr:cNvPr id="2" name="Seta: para a Esquerda 1">
          <a:extLst>
            <a:ext uri="{FF2B5EF4-FFF2-40B4-BE49-F238E27FC236}">
              <a16:creationId xmlns:a16="http://schemas.microsoft.com/office/drawing/2014/main" id="{8EE6DA18-BA6A-4D0C-82DF-17D4F583B9C6}"/>
            </a:ext>
          </a:extLst>
        </xdr:cNvPr>
        <xdr:cNvSpPr/>
      </xdr:nvSpPr>
      <xdr:spPr>
        <a:xfrm>
          <a:off x="10915650" y="28222576"/>
          <a:ext cx="990600" cy="1714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pt-BR" sz="1100"/>
        </a:p>
      </xdr:txBody>
    </xdr:sp>
    <xdr:clientData/>
  </xdr:twoCellAnchor>
  <xdr:twoCellAnchor>
    <xdr:from>
      <xdr:col>11</xdr:col>
      <xdr:colOff>1219199</xdr:colOff>
      <xdr:row>58</xdr:row>
      <xdr:rowOff>47625</xdr:rowOff>
    </xdr:from>
    <xdr:to>
      <xdr:col>13</xdr:col>
      <xdr:colOff>828675</xdr:colOff>
      <xdr:row>61</xdr:row>
      <xdr:rowOff>95251</xdr:rowOff>
    </xdr:to>
    <xdr:sp macro="" textlink="">
      <xdr:nvSpPr>
        <xdr:cNvPr id="3" name="CaixaDeTexto 2">
          <a:extLst>
            <a:ext uri="{FF2B5EF4-FFF2-40B4-BE49-F238E27FC236}">
              <a16:creationId xmlns:a16="http://schemas.microsoft.com/office/drawing/2014/main" id="{A79D51BB-86A9-4A18-B731-47D17EAB9716}"/>
            </a:ext>
          </a:extLst>
        </xdr:cNvPr>
        <xdr:cNvSpPr txBox="1"/>
      </xdr:nvSpPr>
      <xdr:spPr>
        <a:xfrm>
          <a:off x="12020549" y="28051125"/>
          <a:ext cx="2276476" cy="619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solidFill>
                <a:srgbClr val="C00000"/>
              </a:solidFill>
            </a:rPr>
            <a:t>O</a:t>
          </a:r>
          <a:r>
            <a:rPr lang="pt-BR" sz="1100" b="1" baseline="0">
              <a:solidFill>
                <a:srgbClr val="C00000"/>
              </a:solidFill>
            </a:rPr>
            <a:t> denominador deve ser o número de serventes estimados. No exemplo, 21.</a:t>
          </a:r>
          <a:endParaRPr lang="pt-BR" sz="1100" b="1">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1228725</xdr:colOff>
      <xdr:row>11</xdr:row>
      <xdr:rowOff>95250</xdr:rowOff>
    </xdr:from>
    <xdr:to>
      <xdr:col>11</xdr:col>
      <xdr:colOff>133350</xdr:colOff>
      <xdr:row>14</xdr:row>
      <xdr:rowOff>447675</xdr:rowOff>
    </xdr:to>
    <xdr:sp macro="" textlink="">
      <xdr:nvSpPr>
        <xdr:cNvPr id="2" name="CaixaDeTexto 1">
          <a:extLst>
            <a:ext uri="{FF2B5EF4-FFF2-40B4-BE49-F238E27FC236}">
              <a16:creationId xmlns:a16="http://schemas.microsoft.com/office/drawing/2014/main" id="{B861DF28-5E24-4AA1-9B2A-1B0BF1EBEEA2}"/>
            </a:ext>
          </a:extLst>
        </xdr:cNvPr>
        <xdr:cNvSpPr txBox="1"/>
      </xdr:nvSpPr>
      <xdr:spPr>
        <a:xfrm>
          <a:off x="10182225" y="2324100"/>
          <a:ext cx="2800350" cy="8382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a:solidFill>
                <a:srgbClr val="C00000"/>
              </a:solidFill>
            </a:rPr>
            <a:t>ATENÇÃO: caso as produtividades sejam alteradas, os novos valores deverão ser atualizados nas fórmulas</a:t>
          </a:r>
          <a:r>
            <a:rPr lang="pt-BR" sz="1200" b="1" baseline="0">
              <a:solidFill>
                <a:srgbClr val="C00000"/>
              </a:solidFill>
            </a:rPr>
            <a:t> das tabelas.</a:t>
          </a:r>
          <a:endParaRPr lang="pt-BR" sz="1200" b="1">
            <a:solidFill>
              <a:srgbClr val="C00000"/>
            </a:solidFill>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B2:N17"/>
  <sheetViews>
    <sheetView tabSelected="1" zoomScale="120" zoomScaleNormal="120" workbookViewId="0">
      <selection activeCell="B4" sqref="B4:N4"/>
    </sheetView>
  </sheetViews>
  <sheetFormatPr defaultColWidth="9.109375" defaultRowHeight="14.4" x14ac:dyDescent="0.3"/>
  <cols>
    <col min="1" max="16384" width="9.109375" style="71"/>
  </cols>
  <sheetData>
    <row r="2" spans="2:14" x14ac:dyDescent="0.3">
      <c r="B2" s="174" t="s">
        <v>116</v>
      </c>
      <c r="C2" s="174"/>
      <c r="D2" s="174"/>
      <c r="E2" s="174"/>
      <c r="F2" s="174"/>
      <c r="G2" s="174"/>
      <c r="H2" s="174"/>
      <c r="I2" s="174"/>
      <c r="J2" s="174"/>
      <c r="K2" s="174"/>
      <c r="L2" s="174"/>
      <c r="M2" s="174"/>
      <c r="N2" s="174"/>
    </row>
    <row r="3" spans="2:14" x14ac:dyDescent="0.3">
      <c r="B3" s="171" t="s">
        <v>112</v>
      </c>
      <c r="C3" s="172"/>
      <c r="D3" s="172"/>
      <c r="E3" s="172"/>
      <c r="F3" s="172"/>
      <c r="G3" s="172"/>
      <c r="H3" s="172"/>
      <c r="I3" s="172"/>
      <c r="J3" s="172"/>
      <c r="K3" s="172"/>
      <c r="L3" s="172"/>
      <c r="M3" s="172"/>
      <c r="N3" s="173"/>
    </row>
    <row r="4" spans="2:14" ht="51" customHeight="1" x14ac:dyDescent="0.3">
      <c r="B4" s="175" t="s">
        <v>406</v>
      </c>
      <c r="C4" s="175"/>
      <c r="D4" s="175"/>
      <c r="E4" s="175"/>
      <c r="F4" s="175"/>
      <c r="G4" s="175"/>
      <c r="H4" s="175"/>
      <c r="I4" s="175"/>
      <c r="J4" s="175"/>
      <c r="K4" s="175"/>
      <c r="L4" s="175"/>
      <c r="M4" s="175"/>
      <c r="N4" s="175"/>
    </row>
    <row r="5" spans="2:14" ht="45" customHeight="1" x14ac:dyDescent="0.3">
      <c r="B5" s="162" t="s">
        <v>309</v>
      </c>
      <c r="C5" s="163"/>
      <c r="D5" s="163"/>
      <c r="E5" s="163"/>
      <c r="F5" s="163"/>
      <c r="G5" s="163"/>
      <c r="H5" s="163"/>
      <c r="I5" s="163"/>
      <c r="J5" s="163"/>
      <c r="K5" s="163"/>
      <c r="L5" s="163"/>
      <c r="M5" s="163"/>
      <c r="N5" s="164"/>
    </row>
    <row r="6" spans="2:14" x14ac:dyDescent="0.3">
      <c r="B6" s="162" t="s">
        <v>314</v>
      </c>
      <c r="C6" s="163"/>
      <c r="D6" s="163"/>
      <c r="E6" s="163"/>
      <c r="F6" s="163"/>
      <c r="G6" s="163"/>
      <c r="H6" s="163"/>
      <c r="I6" s="163"/>
      <c r="J6" s="163"/>
      <c r="K6" s="163"/>
      <c r="L6" s="163"/>
      <c r="M6" s="163"/>
      <c r="N6" s="164"/>
    </row>
    <row r="7" spans="2:14" ht="72.75" customHeight="1" x14ac:dyDescent="0.3">
      <c r="B7" s="162" t="s">
        <v>310</v>
      </c>
      <c r="C7" s="163"/>
      <c r="D7" s="163"/>
      <c r="E7" s="163"/>
      <c r="F7" s="163"/>
      <c r="G7" s="163"/>
      <c r="H7" s="163"/>
      <c r="I7" s="163"/>
      <c r="J7" s="163"/>
      <c r="K7" s="163"/>
      <c r="L7" s="163"/>
      <c r="M7" s="163"/>
      <c r="N7" s="164"/>
    </row>
    <row r="8" spans="2:14" ht="35.25" customHeight="1" x14ac:dyDescent="0.3">
      <c r="B8" s="162" t="s">
        <v>129</v>
      </c>
      <c r="C8" s="163"/>
      <c r="D8" s="163"/>
      <c r="E8" s="163"/>
      <c r="F8" s="163"/>
      <c r="G8" s="163"/>
      <c r="H8" s="163"/>
      <c r="I8" s="163"/>
      <c r="J8" s="163"/>
      <c r="K8" s="163"/>
      <c r="L8" s="163"/>
      <c r="M8" s="163"/>
      <c r="N8" s="164"/>
    </row>
    <row r="9" spans="2:14" ht="39.75" customHeight="1" x14ac:dyDescent="0.3">
      <c r="B9" s="168" t="s">
        <v>404</v>
      </c>
      <c r="C9" s="169"/>
      <c r="D9" s="169"/>
      <c r="E9" s="169"/>
      <c r="F9" s="169"/>
      <c r="G9" s="169"/>
      <c r="H9" s="169"/>
      <c r="I9" s="169"/>
      <c r="J9" s="169"/>
      <c r="K9" s="169"/>
      <c r="L9" s="169"/>
      <c r="M9" s="169"/>
      <c r="N9" s="170"/>
    </row>
    <row r="10" spans="2:14" ht="66" customHeight="1" x14ac:dyDescent="0.3">
      <c r="B10" s="162" t="s">
        <v>403</v>
      </c>
      <c r="C10" s="163"/>
      <c r="D10" s="163"/>
      <c r="E10" s="163"/>
      <c r="F10" s="163"/>
      <c r="G10" s="163"/>
      <c r="H10" s="163"/>
      <c r="I10" s="163"/>
      <c r="J10" s="163"/>
      <c r="K10" s="163"/>
      <c r="L10" s="163"/>
      <c r="M10" s="163"/>
      <c r="N10" s="164"/>
    </row>
    <row r="11" spans="2:14" ht="30" customHeight="1" x14ac:dyDescent="0.3">
      <c r="B11" s="162" t="s">
        <v>405</v>
      </c>
      <c r="C11" s="163"/>
      <c r="D11" s="163"/>
      <c r="E11" s="163"/>
      <c r="F11" s="163"/>
      <c r="G11" s="163"/>
      <c r="H11" s="163"/>
      <c r="I11" s="163"/>
      <c r="J11" s="163"/>
      <c r="K11" s="163"/>
      <c r="L11" s="163"/>
      <c r="M11" s="163"/>
      <c r="N11" s="164"/>
    </row>
    <row r="12" spans="2:14" x14ac:dyDescent="0.3">
      <c r="B12" s="162"/>
      <c r="C12" s="163"/>
      <c r="D12" s="163"/>
      <c r="E12" s="163"/>
      <c r="F12" s="163"/>
      <c r="G12" s="163"/>
      <c r="H12" s="163"/>
      <c r="I12" s="163"/>
      <c r="J12" s="163"/>
      <c r="K12" s="163"/>
      <c r="L12" s="163"/>
      <c r="M12" s="163"/>
      <c r="N12" s="164"/>
    </row>
    <row r="13" spans="2:14" x14ac:dyDescent="0.3">
      <c r="B13" s="162"/>
      <c r="C13" s="163"/>
      <c r="D13" s="163"/>
      <c r="E13" s="163"/>
      <c r="F13" s="163"/>
      <c r="G13" s="163"/>
      <c r="H13" s="163"/>
      <c r="I13" s="163"/>
      <c r="J13" s="163"/>
      <c r="K13" s="163"/>
      <c r="L13" s="163"/>
      <c r="M13" s="163"/>
      <c r="N13" s="164"/>
    </row>
    <row r="14" spans="2:14" x14ac:dyDescent="0.3">
      <c r="B14" s="162"/>
      <c r="C14" s="163"/>
      <c r="D14" s="163"/>
      <c r="E14" s="163"/>
      <c r="F14" s="163"/>
      <c r="G14" s="163"/>
      <c r="H14" s="163"/>
      <c r="I14" s="163"/>
      <c r="J14" s="163"/>
      <c r="K14" s="163"/>
      <c r="L14" s="163"/>
      <c r="M14" s="163"/>
      <c r="N14" s="164"/>
    </row>
    <row r="15" spans="2:14" x14ac:dyDescent="0.3">
      <c r="B15" s="162"/>
      <c r="C15" s="163"/>
      <c r="D15" s="163"/>
      <c r="E15" s="163"/>
      <c r="F15" s="163"/>
      <c r="G15" s="163"/>
      <c r="H15" s="163"/>
      <c r="I15" s="163"/>
      <c r="J15" s="163"/>
      <c r="K15" s="163"/>
      <c r="L15" s="163"/>
      <c r="M15" s="163"/>
      <c r="N15" s="164"/>
    </row>
    <row r="16" spans="2:14" x14ac:dyDescent="0.3">
      <c r="B16" s="165"/>
      <c r="C16" s="166"/>
      <c r="D16" s="166"/>
      <c r="E16" s="166"/>
      <c r="F16" s="166"/>
      <c r="G16" s="166"/>
      <c r="H16" s="166"/>
      <c r="I16" s="166"/>
      <c r="J16" s="166"/>
      <c r="K16" s="166"/>
      <c r="L16" s="166"/>
      <c r="M16" s="166"/>
      <c r="N16" s="167"/>
    </row>
    <row r="17" spans="2:14" x14ac:dyDescent="0.3">
      <c r="B17" s="165"/>
      <c r="C17" s="166"/>
      <c r="D17" s="166"/>
      <c r="E17" s="166"/>
      <c r="F17" s="166"/>
      <c r="G17" s="166"/>
      <c r="H17" s="166"/>
      <c r="I17" s="166"/>
      <c r="J17" s="166"/>
      <c r="K17" s="166"/>
      <c r="L17" s="166"/>
      <c r="M17" s="166"/>
      <c r="N17" s="167"/>
    </row>
  </sheetData>
  <mergeCells count="16">
    <mergeCell ref="B3:N3"/>
    <mergeCell ref="B2:N2"/>
    <mergeCell ref="B4:N4"/>
    <mergeCell ref="B5:N5"/>
    <mergeCell ref="B7:N7"/>
    <mergeCell ref="B6:N6"/>
    <mergeCell ref="B14:N14"/>
    <mergeCell ref="B15:N15"/>
    <mergeCell ref="B16:N16"/>
    <mergeCell ref="B17:N17"/>
    <mergeCell ref="B8:N8"/>
    <mergeCell ref="B9:N9"/>
    <mergeCell ref="B11:N11"/>
    <mergeCell ref="B10:N10"/>
    <mergeCell ref="B12:N12"/>
    <mergeCell ref="B13:N13"/>
  </mergeCells>
  <pageMargins left="0.511811024" right="0.511811024" top="0.78740157499999996" bottom="0.78740157499999996" header="0.31496062000000002" footer="0.31496062000000002"/>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fitToPage="1"/>
  </sheetPr>
  <dimension ref="B1:J22"/>
  <sheetViews>
    <sheetView showGridLines="0" view="pageBreakPreview" zoomScale="130" zoomScaleNormal="100" zoomScaleSheetLayoutView="130" workbookViewId="0">
      <selection activeCell="F22" sqref="F22"/>
    </sheetView>
  </sheetViews>
  <sheetFormatPr defaultColWidth="9.109375" defaultRowHeight="14.4" x14ac:dyDescent="0.3"/>
  <cols>
    <col min="1" max="1" width="2.6640625" style="71" customWidth="1"/>
    <col min="2" max="2" width="17.6640625" style="71" bestFit="1" customWidth="1"/>
    <col min="3" max="3" width="17.6640625" style="71" customWidth="1"/>
    <col min="4" max="4" width="12.88671875" style="71" customWidth="1"/>
    <col min="5" max="5" width="15.6640625" style="71" customWidth="1"/>
    <col min="6" max="6" width="10.33203125" style="71" customWidth="1"/>
    <col min="7" max="7" width="2.109375" style="71" customWidth="1"/>
    <col min="8" max="8" width="12.33203125" style="71" customWidth="1"/>
    <col min="9" max="9" width="14.6640625" style="71" customWidth="1"/>
    <col min="10" max="10" width="15.88671875" style="71" customWidth="1"/>
    <col min="11" max="16384" width="9.109375" style="71"/>
  </cols>
  <sheetData>
    <row r="1" spans="2:10" x14ac:dyDescent="0.3">
      <c r="B1" s="176"/>
      <c r="C1" s="176"/>
      <c r="D1" s="176"/>
      <c r="E1" s="176"/>
      <c r="F1" s="176"/>
    </row>
    <row r="2" spans="2:10" x14ac:dyDescent="0.3">
      <c r="B2" s="179" t="s">
        <v>155</v>
      </c>
      <c r="C2" s="179"/>
      <c r="D2" s="179"/>
      <c r="E2" s="179"/>
      <c r="F2" s="179"/>
      <c r="G2" s="87"/>
      <c r="H2" s="87"/>
      <c r="I2" s="87"/>
      <c r="J2" s="87"/>
    </row>
    <row r="4" spans="2:10" x14ac:dyDescent="0.3">
      <c r="B4" s="178" t="s">
        <v>127</v>
      </c>
      <c r="C4" s="178"/>
      <c r="D4" s="178"/>
      <c r="E4" s="178"/>
      <c r="F4" s="178"/>
    </row>
    <row r="5" spans="2:10" x14ac:dyDescent="0.3">
      <c r="B5" s="88" t="s">
        <v>148</v>
      </c>
      <c r="C5" s="93" t="s">
        <v>259</v>
      </c>
      <c r="D5" s="88" t="s">
        <v>149</v>
      </c>
      <c r="E5" s="88" t="s">
        <v>150</v>
      </c>
      <c r="F5" s="88" t="s">
        <v>151</v>
      </c>
    </row>
    <row r="6" spans="2:10" x14ac:dyDescent="0.3">
      <c r="B6" s="89" t="s">
        <v>152</v>
      </c>
      <c r="C6" s="135">
        <v>34.33</v>
      </c>
      <c r="D6" s="89">
        <v>2</v>
      </c>
      <c r="E6" s="89">
        <v>2</v>
      </c>
      <c r="F6" s="90">
        <f>(D6+E6)*C6</f>
        <v>137.32</v>
      </c>
    </row>
    <row r="7" spans="2:10" x14ac:dyDescent="0.3">
      <c r="B7" s="89" t="s">
        <v>153</v>
      </c>
      <c r="C7" s="135">
        <v>38.33</v>
      </c>
      <c r="D7" s="89">
        <v>2</v>
      </c>
      <c r="E7" s="89">
        <v>2</v>
      </c>
      <c r="F7" s="90">
        <f>(D7+E7)*C7</f>
        <v>153.32</v>
      </c>
    </row>
    <row r="8" spans="2:10" x14ac:dyDescent="0.3">
      <c r="B8" s="89" t="s">
        <v>47</v>
      </c>
      <c r="C8" s="135">
        <v>45</v>
      </c>
      <c r="D8" s="89">
        <v>1</v>
      </c>
      <c r="E8" s="89">
        <v>1</v>
      </c>
      <c r="F8" s="90">
        <f>(D8+E8)*C8</f>
        <v>90</v>
      </c>
    </row>
    <row r="9" spans="2:10" x14ac:dyDescent="0.3">
      <c r="B9" s="89" t="s">
        <v>154</v>
      </c>
      <c r="C9" s="135">
        <v>5.5</v>
      </c>
      <c r="D9" s="89">
        <v>3</v>
      </c>
      <c r="E9" s="89">
        <v>3</v>
      </c>
      <c r="F9" s="90">
        <f>(D9+E9)*C9</f>
        <v>33</v>
      </c>
    </row>
    <row r="10" spans="2:10" x14ac:dyDescent="0.3">
      <c r="B10" s="177" t="s">
        <v>156</v>
      </c>
      <c r="C10" s="177"/>
      <c r="D10" s="177"/>
      <c r="E10" s="177"/>
      <c r="F10" s="91">
        <f>SUM(F6:F9)</f>
        <v>413.64</v>
      </c>
    </row>
    <row r="11" spans="2:10" x14ac:dyDescent="0.3">
      <c r="B11" s="177" t="s">
        <v>157</v>
      </c>
      <c r="C11" s="177"/>
      <c r="D11" s="177"/>
      <c r="E11" s="177"/>
      <c r="F11" s="92">
        <f>F10/12</f>
        <v>34.47</v>
      </c>
    </row>
    <row r="14" spans="2:10" x14ac:dyDescent="0.3">
      <c r="B14" s="178" t="s">
        <v>139</v>
      </c>
      <c r="C14" s="178"/>
      <c r="D14" s="178"/>
      <c r="E14" s="178"/>
      <c r="F14" s="178"/>
    </row>
    <row r="15" spans="2:10" x14ac:dyDescent="0.3">
      <c r="B15" s="93" t="s">
        <v>148</v>
      </c>
      <c r="C15" s="93" t="s">
        <v>259</v>
      </c>
      <c r="D15" s="93" t="s">
        <v>149</v>
      </c>
      <c r="E15" s="93" t="s">
        <v>150</v>
      </c>
      <c r="F15" s="93" t="s">
        <v>151</v>
      </c>
    </row>
    <row r="16" spans="2:10" x14ac:dyDescent="0.3">
      <c r="B16" s="94" t="s">
        <v>152</v>
      </c>
      <c r="C16" s="136">
        <v>23.75</v>
      </c>
      <c r="D16" s="94">
        <v>2</v>
      </c>
      <c r="E16" s="94">
        <v>2</v>
      </c>
      <c r="F16" s="90">
        <f>(D16+E16)*C16</f>
        <v>95</v>
      </c>
    </row>
    <row r="17" spans="2:6" x14ac:dyDescent="0.3">
      <c r="B17" s="94" t="s">
        <v>153</v>
      </c>
      <c r="C17" s="136">
        <v>22.16</v>
      </c>
      <c r="D17" s="94">
        <v>2</v>
      </c>
      <c r="E17" s="94">
        <v>2</v>
      </c>
      <c r="F17" s="90">
        <f>(D17+E17)*C17</f>
        <v>88.64</v>
      </c>
    </row>
    <row r="18" spans="2:6" x14ac:dyDescent="0.3">
      <c r="B18" s="94" t="s">
        <v>158</v>
      </c>
      <c r="C18" s="136">
        <v>5.37</v>
      </c>
      <c r="D18" s="94">
        <v>3</v>
      </c>
      <c r="E18" s="94">
        <v>3</v>
      </c>
      <c r="F18" s="90">
        <f>(D18+E18)*C18</f>
        <v>32.22</v>
      </c>
    </row>
    <row r="19" spans="2:6" x14ac:dyDescent="0.3">
      <c r="B19" s="94" t="s">
        <v>159</v>
      </c>
      <c r="C19" s="136">
        <v>24.5</v>
      </c>
      <c r="D19" s="94">
        <v>2</v>
      </c>
      <c r="E19" s="94">
        <v>2</v>
      </c>
      <c r="F19" s="90">
        <f>(D19+E19)*C19</f>
        <v>98</v>
      </c>
    </row>
    <row r="20" spans="2:6" x14ac:dyDescent="0.3">
      <c r="B20" s="94" t="s">
        <v>160</v>
      </c>
      <c r="C20" s="136">
        <v>56.83</v>
      </c>
      <c r="D20" s="94">
        <v>1</v>
      </c>
      <c r="E20" s="94">
        <v>1</v>
      </c>
      <c r="F20" s="90">
        <f>(D20+E20)*C20</f>
        <v>113.66</v>
      </c>
    </row>
    <row r="21" spans="2:6" x14ac:dyDescent="0.3">
      <c r="B21" s="177" t="s">
        <v>156</v>
      </c>
      <c r="C21" s="177"/>
      <c r="D21" s="177"/>
      <c r="E21" s="177"/>
      <c r="F21" s="92">
        <f>SUM(F16:F20)</f>
        <v>427.52</v>
      </c>
    </row>
    <row r="22" spans="2:6" x14ac:dyDescent="0.3">
      <c r="B22" s="177" t="s">
        <v>157</v>
      </c>
      <c r="C22" s="177"/>
      <c r="D22" s="177"/>
      <c r="E22" s="177"/>
      <c r="F22" s="92">
        <f>F21/12</f>
        <v>35.626666666666665</v>
      </c>
    </row>
  </sheetData>
  <mergeCells count="8">
    <mergeCell ref="B1:F1"/>
    <mergeCell ref="B21:E21"/>
    <mergeCell ref="B22:E22"/>
    <mergeCell ref="B10:E10"/>
    <mergeCell ref="B11:E11"/>
    <mergeCell ref="B4:F4"/>
    <mergeCell ref="B2:F2"/>
    <mergeCell ref="B14:F14"/>
  </mergeCells>
  <printOptions horizontalCentered="1" verticalCentered="1"/>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F659-322D-4CAA-9AC9-655B96C9850D}">
  <sheetPr codeName="Planilha5"/>
  <dimension ref="A1:L32"/>
  <sheetViews>
    <sheetView showGridLines="0" zoomScaleNormal="100" workbookViewId="0">
      <pane ySplit="2" topLeftCell="A3" activePane="bottomLeft" state="frozen"/>
      <selection pane="bottomLeft" activeCell="I2" sqref="I2"/>
    </sheetView>
  </sheetViews>
  <sheetFormatPr defaultColWidth="20" defaultRowHeight="14.4" x14ac:dyDescent="0.3"/>
  <cols>
    <col min="1" max="1" width="5.109375" bestFit="1" customWidth="1"/>
    <col min="2" max="2" width="49.6640625" style="96" customWidth="1"/>
    <col min="3" max="3" width="15.33203125" customWidth="1"/>
    <col min="4" max="4" width="18.109375" bestFit="1" customWidth="1"/>
    <col min="5" max="5" width="13.44140625" bestFit="1" customWidth="1"/>
    <col min="6" max="6" width="12.44140625" bestFit="1" customWidth="1"/>
    <col min="7" max="7" width="10.5546875" customWidth="1"/>
    <col min="8" max="8" width="10.5546875" bestFit="1" customWidth="1"/>
    <col min="9" max="9" width="15.33203125" customWidth="1"/>
  </cols>
  <sheetData>
    <row r="1" spans="1:12" x14ac:dyDescent="0.3">
      <c r="A1" s="178" t="s">
        <v>233</v>
      </c>
      <c r="B1" s="178"/>
      <c r="C1" s="178"/>
      <c r="D1" s="178"/>
      <c r="E1" s="178"/>
      <c r="F1" s="178"/>
      <c r="G1" s="178"/>
      <c r="H1" s="178"/>
      <c r="I1" s="178"/>
      <c r="J1" s="178"/>
    </row>
    <row r="2" spans="1:12" ht="28.8" x14ac:dyDescent="0.3">
      <c r="A2" s="111" t="s">
        <v>227</v>
      </c>
      <c r="B2" s="111" t="s">
        <v>260</v>
      </c>
      <c r="C2" s="111" t="s">
        <v>261</v>
      </c>
      <c r="D2" s="111" t="s">
        <v>228</v>
      </c>
      <c r="E2" s="111" t="s">
        <v>229</v>
      </c>
      <c r="F2" s="111" t="s">
        <v>230</v>
      </c>
      <c r="G2" s="111" t="s">
        <v>316</v>
      </c>
      <c r="H2" s="111" t="s">
        <v>231</v>
      </c>
      <c r="I2" s="111" t="s">
        <v>262</v>
      </c>
      <c r="J2" s="111" t="s">
        <v>232</v>
      </c>
    </row>
    <row r="3" spans="1:12" ht="57.6" x14ac:dyDescent="0.3">
      <c r="A3" s="107">
        <v>1</v>
      </c>
      <c r="B3" s="108" t="s">
        <v>263</v>
      </c>
      <c r="C3" s="159" t="s">
        <v>344</v>
      </c>
      <c r="D3" s="107" t="s">
        <v>264</v>
      </c>
      <c r="E3" s="109" t="s">
        <v>265</v>
      </c>
      <c r="F3" s="110">
        <v>1</v>
      </c>
      <c r="G3" s="110">
        <v>1</v>
      </c>
      <c r="H3" s="112">
        <f>SUM(F3:G3)</f>
        <v>2</v>
      </c>
      <c r="I3" s="137">
        <v>286.84249999999997</v>
      </c>
      <c r="J3" s="109">
        <f t="shared" ref="J3:J23" si="0">H3*I3</f>
        <v>573.68499999999995</v>
      </c>
    </row>
    <row r="4" spans="1:12" ht="57.6" x14ac:dyDescent="0.3">
      <c r="A4" s="107">
        <v>2</v>
      </c>
      <c r="B4" s="108" t="s">
        <v>266</v>
      </c>
      <c r="C4" s="159" t="s">
        <v>345</v>
      </c>
      <c r="D4" s="107" t="s">
        <v>264</v>
      </c>
      <c r="E4" s="109" t="s">
        <v>265</v>
      </c>
      <c r="F4" s="110">
        <v>6</v>
      </c>
      <c r="G4" s="110">
        <v>5</v>
      </c>
      <c r="H4" s="112">
        <f t="shared" ref="H4:H23" si="1">SUM(F4:G4)</f>
        <v>11</v>
      </c>
      <c r="I4" s="137">
        <v>974.84333333333336</v>
      </c>
      <c r="J4" s="109">
        <f t="shared" si="0"/>
        <v>10723.276666666667</v>
      </c>
    </row>
    <row r="5" spans="1:12" ht="57.6" x14ac:dyDescent="0.3">
      <c r="A5" s="107">
        <v>3</v>
      </c>
      <c r="B5" s="108" t="s">
        <v>267</v>
      </c>
      <c r="C5" s="159" t="s">
        <v>346</v>
      </c>
      <c r="D5" s="107" t="s">
        <v>264</v>
      </c>
      <c r="E5" s="109" t="s">
        <v>265</v>
      </c>
      <c r="F5" s="110">
        <v>2</v>
      </c>
      <c r="G5" s="110">
        <v>4</v>
      </c>
      <c r="H5" s="112">
        <f t="shared" si="1"/>
        <v>6</v>
      </c>
      <c r="I5" s="137">
        <v>441.20666666666665</v>
      </c>
      <c r="J5" s="109">
        <f t="shared" si="0"/>
        <v>2647.24</v>
      </c>
    </row>
    <row r="6" spans="1:12" ht="28.8" x14ac:dyDescent="0.3">
      <c r="A6" s="107">
        <v>4</v>
      </c>
      <c r="B6" s="108" t="s">
        <v>268</v>
      </c>
      <c r="C6" s="159" t="s">
        <v>347</v>
      </c>
      <c r="D6" s="107" t="s">
        <v>264</v>
      </c>
      <c r="E6" s="109" t="s">
        <v>265</v>
      </c>
      <c r="F6" s="110">
        <v>10</v>
      </c>
      <c r="G6" s="110">
        <v>10</v>
      </c>
      <c r="H6" s="112">
        <f t="shared" si="1"/>
        <v>20</v>
      </c>
      <c r="I6" s="137">
        <v>3.6733333333333333</v>
      </c>
      <c r="J6" s="109">
        <f t="shared" si="0"/>
        <v>73.466666666666669</v>
      </c>
    </row>
    <row r="7" spans="1:12" ht="28.8" x14ac:dyDescent="0.3">
      <c r="A7" s="107">
        <v>5</v>
      </c>
      <c r="B7" s="108" t="s">
        <v>269</v>
      </c>
      <c r="C7" s="159" t="s">
        <v>347</v>
      </c>
      <c r="D7" s="107" t="s">
        <v>264</v>
      </c>
      <c r="E7" s="109" t="s">
        <v>265</v>
      </c>
      <c r="F7" s="110">
        <v>20</v>
      </c>
      <c r="G7" s="110">
        <v>20</v>
      </c>
      <c r="H7" s="112">
        <f t="shared" si="1"/>
        <v>40</v>
      </c>
      <c r="I7" s="137">
        <v>5.919999999999999</v>
      </c>
      <c r="J7" s="109">
        <f t="shared" si="0"/>
        <v>236.79999999999995</v>
      </c>
    </row>
    <row r="8" spans="1:12" ht="57.6" x14ac:dyDescent="0.3">
      <c r="A8" s="107">
        <v>6</v>
      </c>
      <c r="B8" s="108" t="s">
        <v>270</v>
      </c>
      <c r="C8" s="159" t="s">
        <v>348</v>
      </c>
      <c r="D8" s="107" t="s">
        <v>264</v>
      </c>
      <c r="E8" s="109" t="s">
        <v>265</v>
      </c>
      <c r="F8" s="110">
        <v>50</v>
      </c>
      <c r="G8" s="110">
        <v>90</v>
      </c>
      <c r="H8" s="112">
        <f t="shared" si="1"/>
        <v>140</v>
      </c>
      <c r="I8" s="137">
        <v>34.666666666666664</v>
      </c>
      <c r="J8" s="109">
        <f t="shared" si="0"/>
        <v>4853.333333333333</v>
      </c>
    </row>
    <row r="9" spans="1:12" ht="28.8" x14ac:dyDescent="0.3">
      <c r="A9" s="107">
        <v>7</v>
      </c>
      <c r="B9" s="108" t="s">
        <v>271</v>
      </c>
      <c r="C9" s="159" t="s">
        <v>349</v>
      </c>
      <c r="D9" s="107" t="s">
        <v>264</v>
      </c>
      <c r="E9" s="109" t="s">
        <v>265</v>
      </c>
      <c r="F9" s="110">
        <v>50</v>
      </c>
      <c r="G9" s="110">
        <v>65</v>
      </c>
      <c r="H9" s="112">
        <f t="shared" si="1"/>
        <v>115</v>
      </c>
      <c r="I9" s="137">
        <v>15.443333333333333</v>
      </c>
      <c r="J9" s="109">
        <f t="shared" si="0"/>
        <v>1775.9833333333333</v>
      </c>
    </row>
    <row r="10" spans="1:12" ht="57.6" x14ac:dyDescent="0.3">
      <c r="A10" s="107">
        <v>8</v>
      </c>
      <c r="B10" s="108" t="s">
        <v>278</v>
      </c>
      <c r="C10" s="159" t="s">
        <v>350</v>
      </c>
      <c r="D10" s="107" t="s">
        <v>264</v>
      </c>
      <c r="E10" s="109" t="s">
        <v>265</v>
      </c>
      <c r="F10" s="110">
        <v>2</v>
      </c>
      <c r="G10" s="110">
        <v>2</v>
      </c>
      <c r="H10" s="112">
        <f t="shared" si="1"/>
        <v>4</v>
      </c>
      <c r="I10" s="137">
        <v>1240</v>
      </c>
      <c r="J10" s="109">
        <f t="shared" si="0"/>
        <v>4960</v>
      </c>
    </row>
    <row r="11" spans="1:12" ht="57.6" x14ac:dyDescent="0.3">
      <c r="A11" s="107">
        <v>9</v>
      </c>
      <c r="B11" s="108" t="s">
        <v>277</v>
      </c>
      <c r="C11" s="159" t="s">
        <v>350</v>
      </c>
      <c r="D11" s="107" t="s">
        <v>264</v>
      </c>
      <c r="E11" s="109" t="s">
        <v>265</v>
      </c>
      <c r="F11" s="110">
        <v>1</v>
      </c>
      <c r="G11" s="110">
        <v>1</v>
      </c>
      <c r="H11" s="112">
        <f t="shared" si="1"/>
        <v>2</v>
      </c>
      <c r="I11" s="137">
        <v>1497.6</v>
      </c>
      <c r="J11" s="109">
        <f t="shared" si="0"/>
        <v>2995.2</v>
      </c>
    </row>
    <row r="12" spans="1:12" ht="28.8" x14ac:dyDescent="0.3">
      <c r="A12" s="107">
        <v>10</v>
      </c>
      <c r="B12" s="108" t="s">
        <v>273</v>
      </c>
      <c r="C12" s="159" t="s">
        <v>351</v>
      </c>
      <c r="D12" s="107" t="s">
        <v>264</v>
      </c>
      <c r="E12" s="109" t="s">
        <v>265</v>
      </c>
      <c r="F12" s="110">
        <v>3</v>
      </c>
      <c r="G12" s="110">
        <v>2</v>
      </c>
      <c r="H12" s="112">
        <f t="shared" si="1"/>
        <v>5</v>
      </c>
      <c r="I12" s="137">
        <v>77.33</v>
      </c>
      <c r="J12" s="109">
        <f t="shared" si="0"/>
        <v>386.65</v>
      </c>
    </row>
    <row r="13" spans="1:12" ht="28.8" x14ac:dyDescent="0.3">
      <c r="A13" s="107">
        <v>11</v>
      </c>
      <c r="B13" s="108" t="s">
        <v>274</v>
      </c>
      <c r="C13" s="159" t="s">
        <v>351</v>
      </c>
      <c r="D13" s="107" t="s">
        <v>264</v>
      </c>
      <c r="E13" s="109" t="s">
        <v>265</v>
      </c>
      <c r="F13" s="110">
        <v>2</v>
      </c>
      <c r="G13" s="110">
        <v>2</v>
      </c>
      <c r="H13" s="112">
        <f t="shared" si="1"/>
        <v>4</v>
      </c>
      <c r="I13" s="137">
        <v>123.91333333333334</v>
      </c>
      <c r="J13" s="109">
        <f t="shared" si="0"/>
        <v>495.65333333333336</v>
      </c>
    </row>
    <row r="14" spans="1:12" ht="28.8" x14ac:dyDescent="0.3">
      <c r="A14" s="107">
        <v>12</v>
      </c>
      <c r="B14" s="108" t="s">
        <v>275</v>
      </c>
      <c r="C14" s="159" t="s">
        <v>352</v>
      </c>
      <c r="D14" s="107" t="s">
        <v>264</v>
      </c>
      <c r="E14" s="109" t="s">
        <v>265</v>
      </c>
      <c r="F14" s="110">
        <v>1</v>
      </c>
      <c r="G14" s="110">
        <v>2</v>
      </c>
      <c r="H14" s="112">
        <f t="shared" si="1"/>
        <v>3</v>
      </c>
      <c r="I14" s="137">
        <v>15.63</v>
      </c>
      <c r="J14" s="109">
        <f t="shared" si="0"/>
        <v>46.89</v>
      </c>
    </row>
    <row r="15" spans="1:12" ht="43.2" x14ac:dyDescent="0.3">
      <c r="A15" s="107">
        <v>13</v>
      </c>
      <c r="B15" s="108" t="s">
        <v>276</v>
      </c>
      <c r="C15" s="159" t="s">
        <v>353</v>
      </c>
      <c r="D15" s="107" t="s">
        <v>264</v>
      </c>
      <c r="E15" s="109" t="s">
        <v>265</v>
      </c>
      <c r="F15" s="110">
        <v>5</v>
      </c>
      <c r="G15" s="110">
        <v>5</v>
      </c>
      <c r="H15" s="112">
        <f t="shared" si="1"/>
        <v>10</v>
      </c>
      <c r="I15" s="137">
        <v>12.86</v>
      </c>
      <c r="J15" s="109">
        <f t="shared" si="0"/>
        <v>128.6</v>
      </c>
      <c r="L15" s="124" t="s">
        <v>289</v>
      </c>
    </row>
    <row r="16" spans="1:12" ht="57.6" x14ac:dyDescent="0.3">
      <c r="A16" s="107">
        <v>14</v>
      </c>
      <c r="B16" s="108" t="s">
        <v>280</v>
      </c>
      <c r="C16" s="159" t="s">
        <v>354</v>
      </c>
      <c r="D16" s="107" t="s">
        <v>264</v>
      </c>
      <c r="E16" s="109" t="s">
        <v>265</v>
      </c>
      <c r="F16" s="110">
        <v>0</v>
      </c>
      <c r="G16" s="110">
        <v>0</v>
      </c>
      <c r="H16" s="112">
        <f t="shared" si="1"/>
        <v>0</v>
      </c>
      <c r="I16" s="137">
        <v>10.950000000000001</v>
      </c>
      <c r="J16" s="109">
        <f t="shared" si="0"/>
        <v>0</v>
      </c>
    </row>
    <row r="17" spans="1:10" ht="57.6" x14ac:dyDescent="0.3">
      <c r="A17" s="107">
        <v>15</v>
      </c>
      <c r="B17" s="108" t="s">
        <v>281</v>
      </c>
      <c r="C17" s="159" t="s">
        <v>354</v>
      </c>
      <c r="D17" s="107" t="s">
        <v>264</v>
      </c>
      <c r="E17" s="109" t="s">
        <v>265</v>
      </c>
      <c r="F17" s="110">
        <v>15</v>
      </c>
      <c r="G17" s="110">
        <v>20</v>
      </c>
      <c r="H17" s="112">
        <f t="shared" si="1"/>
        <v>35</v>
      </c>
      <c r="I17" s="137">
        <v>109.84333333333332</v>
      </c>
      <c r="J17" s="109">
        <f t="shared" si="0"/>
        <v>3844.516666666666</v>
      </c>
    </row>
    <row r="18" spans="1:10" ht="28.8" x14ac:dyDescent="0.3">
      <c r="A18" s="107">
        <v>16</v>
      </c>
      <c r="B18" s="108" t="s">
        <v>282</v>
      </c>
      <c r="C18" s="159" t="s">
        <v>355</v>
      </c>
      <c r="D18" s="107" t="s">
        <v>283</v>
      </c>
      <c r="E18" s="109" t="s">
        <v>265</v>
      </c>
      <c r="F18" s="110">
        <v>1</v>
      </c>
      <c r="G18" s="110">
        <v>1</v>
      </c>
      <c r="H18" s="112">
        <f t="shared" si="1"/>
        <v>2</v>
      </c>
      <c r="I18" s="137">
        <v>317.60666666666663</v>
      </c>
      <c r="J18" s="109">
        <f t="shared" si="0"/>
        <v>635.21333333333325</v>
      </c>
    </row>
    <row r="19" spans="1:10" ht="28.8" x14ac:dyDescent="0.3">
      <c r="A19" s="107">
        <v>17</v>
      </c>
      <c r="B19" s="108" t="s">
        <v>284</v>
      </c>
      <c r="C19" s="159" t="s">
        <v>355</v>
      </c>
      <c r="D19" s="107" t="s">
        <v>283</v>
      </c>
      <c r="E19" s="109" t="s">
        <v>265</v>
      </c>
      <c r="F19" s="110">
        <v>2</v>
      </c>
      <c r="G19" s="110">
        <v>1</v>
      </c>
      <c r="H19" s="112">
        <f t="shared" si="1"/>
        <v>3</v>
      </c>
      <c r="I19" s="137">
        <v>158.80333333333331</v>
      </c>
      <c r="J19" s="109">
        <f t="shared" si="0"/>
        <v>476.40999999999997</v>
      </c>
    </row>
    <row r="20" spans="1:10" ht="28.8" x14ac:dyDescent="0.3">
      <c r="A20" s="107">
        <v>18</v>
      </c>
      <c r="B20" s="108" t="s">
        <v>279</v>
      </c>
      <c r="C20" s="159" t="s">
        <v>356</v>
      </c>
      <c r="D20" s="107" t="s">
        <v>264</v>
      </c>
      <c r="E20" s="109" t="s">
        <v>265</v>
      </c>
      <c r="F20" s="110">
        <v>2</v>
      </c>
      <c r="G20" s="110">
        <v>2</v>
      </c>
      <c r="H20" s="112">
        <f t="shared" si="1"/>
        <v>4</v>
      </c>
      <c r="I20" s="137">
        <v>978.16750000000002</v>
      </c>
      <c r="J20" s="109">
        <f t="shared" si="0"/>
        <v>3912.67</v>
      </c>
    </row>
    <row r="21" spans="1:10" ht="43.2" x14ac:dyDescent="0.3">
      <c r="A21" s="107">
        <v>19</v>
      </c>
      <c r="B21" s="108" t="s">
        <v>285</v>
      </c>
      <c r="C21" s="159" t="s">
        <v>357</v>
      </c>
      <c r="D21" s="107" t="s">
        <v>264</v>
      </c>
      <c r="E21" s="109" t="s">
        <v>265</v>
      </c>
      <c r="F21" s="110">
        <v>15</v>
      </c>
      <c r="G21" s="110">
        <v>20</v>
      </c>
      <c r="H21" s="112">
        <f t="shared" si="1"/>
        <v>35</v>
      </c>
      <c r="I21" s="137">
        <v>33.966666666666669</v>
      </c>
      <c r="J21" s="109">
        <f t="shared" si="0"/>
        <v>1188.8333333333335</v>
      </c>
    </row>
    <row r="22" spans="1:10" ht="43.2" x14ac:dyDescent="0.3">
      <c r="A22" s="107">
        <v>20</v>
      </c>
      <c r="B22" s="108" t="s">
        <v>286</v>
      </c>
      <c r="C22" s="159" t="s">
        <v>357</v>
      </c>
      <c r="D22" s="107" t="s">
        <v>264</v>
      </c>
      <c r="E22" s="109" t="s">
        <v>265</v>
      </c>
      <c r="F22" s="110">
        <v>15</v>
      </c>
      <c r="G22" s="110">
        <v>30</v>
      </c>
      <c r="H22" s="112">
        <f t="shared" si="1"/>
        <v>45</v>
      </c>
      <c r="I22" s="137">
        <v>26.333333333333332</v>
      </c>
      <c r="J22" s="109">
        <f t="shared" si="0"/>
        <v>1185</v>
      </c>
    </row>
    <row r="23" spans="1:10" ht="43.2" x14ac:dyDescent="0.3">
      <c r="A23" s="107">
        <v>21</v>
      </c>
      <c r="B23" s="108" t="s">
        <v>272</v>
      </c>
      <c r="C23" s="159" t="s">
        <v>358</v>
      </c>
      <c r="D23" s="107" t="s">
        <v>264</v>
      </c>
      <c r="E23" s="109" t="s">
        <v>265</v>
      </c>
      <c r="F23" s="110">
        <v>30</v>
      </c>
      <c r="G23" s="110">
        <v>45</v>
      </c>
      <c r="H23" s="112">
        <f t="shared" si="1"/>
        <v>75</v>
      </c>
      <c r="I23" s="137">
        <v>19.209999999999997</v>
      </c>
      <c r="J23" s="109">
        <f t="shared" si="0"/>
        <v>1440.7499999999998</v>
      </c>
    </row>
    <row r="24" spans="1:10" x14ac:dyDescent="0.3">
      <c r="A24" s="107"/>
      <c r="B24" s="108"/>
      <c r="C24" s="107"/>
      <c r="D24" s="109"/>
      <c r="E24" s="110"/>
      <c r="F24" s="110"/>
      <c r="G24" s="110"/>
      <c r="H24" s="109"/>
      <c r="I24" s="109"/>
      <c r="J24" s="109"/>
    </row>
    <row r="25" spans="1:10" x14ac:dyDescent="0.3">
      <c r="A25" s="183" t="s">
        <v>234</v>
      </c>
      <c r="B25" s="183"/>
      <c r="C25" s="183"/>
      <c r="D25" s="183"/>
      <c r="E25" s="183"/>
      <c r="F25" s="183"/>
      <c r="G25" s="183"/>
      <c r="H25" s="183"/>
      <c r="I25" s="183"/>
      <c r="J25" s="98">
        <f>SUM(J3:J24)</f>
        <v>42580.171666666669</v>
      </c>
    </row>
    <row r="26" spans="1:10" x14ac:dyDescent="0.3">
      <c r="A26" s="183" t="s">
        <v>235</v>
      </c>
      <c r="B26" s="183"/>
      <c r="C26" s="183"/>
      <c r="D26" s="183"/>
      <c r="E26" s="183"/>
      <c r="F26" s="183"/>
      <c r="G26" s="183"/>
      <c r="H26" s="183"/>
      <c r="I26" s="183"/>
      <c r="J26" s="97">
        <f>J25/60</f>
        <v>709.66952777777783</v>
      </c>
    </row>
    <row r="27" spans="1:10" x14ac:dyDescent="0.3">
      <c r="A27" s="184" t="s">
        <v>236</v>
      </c>
      <c r="B27" s="184"/>
      <c r="C27" s="184"/>
      <c r="D27" s="184"/>
      <c r="E27" s="184"/>
      <c r="F27" s="184"/>
      <c r="G27" s="184"/>
      <c r="H27" s="184"/>
      <c r="I27" s="184"/>
      <c r="J27" s="98">
        <f>J26/21</f>
        <v>33.793787037037042</v>
      </c>
    </row>
    <row r="29" spans="1:10" x14ac:dyDescent="0.3">
      <c r="A29" s="113" t="s">
        <v>287</v>
      </c>
      <c r="B29" s="114"/>
      <c r="C29" s="115"/>
      <c r="D29" s="115"/>
      <c r="E29" s="115"/>
      <c r="F29" s="115"/>
      <c r="G29" s="180"/>
      <c r="H29" s="180"/>
    </row>
    <row r="30" spans="1:10" x14ac:dyDescent="0.3">
      <c r="A30" s="116" t="s">
        <v>288</v>
      </c>
      <c r="B30" s="114"/>
      <c r="C30" s="115"/>
      <c r="D30" s="115"/>
      <c r="E30" s="115"/>
      <c r="F30" s="115"/>
      <c r="G30" s="181"/>
      <c r="H30" s="181"/>
    </row>
    <row r="31" spans="1:10" x14ac:dyDescent="0.3">
      <c r="A31" s="182"/>
      <c r="B31" s="182"/>
      <c r="C31" s="182"/>
      <c r="D31" s="182"/>
      <c r="E31" s="182"/>
      <c r="F31" s="182"/>
      <c r="G31" s="151"/>
      <c r="H31" s="117"/>
    </row>
    <row r="32" spans="1:10" x14ac:dyDescent="0.3">
      <c r="A32" s="118"/>
      <c r="B32" s="119"/>
      <c r="C32" s="120"/>
      <c r="D32" s="120"/>
      <c r="E32" s="120"/>
      <c r="F32" s="120"/>
      <c r="G32" s="120"/>
      <c r="H32" s="120"/>
    </row>
  </sheetData>
  <sortState xmlns:xlrd2="http://schemas.microsoft.com/office/spreadsheetml/2017/richdata2" ref="B3:J23">
    <sortCondition ref="B3"/>
  </sortState>
  <mergeCells count="7">
    <mergeCell ref="A1:J1"/>
    <mergeCell ref="G29:H29"/>
    <mergeCell ref="G30:H30"/>
    <mergeCell ref="A31:F31"/>
    <mergeCell ref="A25:I25"/>
    <mergeCell ref="A26:I26"/>
    <mergeCell ref="A27:I27"/>
  </mergeCells>
  <pageMargins left="0.511811024" right="0.511811024" top="0.78740157499999996" bottom="0.78740157499999996" header="0.31496062000000002" footer="0.31496062000000002"/>
  <pageSetup paperSize="9" scale="50" orientation="portrait" r:id="rId1"/>
  <rowBreaks count="1" manualBreakCount="1">
    <brk id="30"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M62"/>
  <sheetViews>
    <sheetView showGridLines="0" zoomScaleNormal="100" workbookViewId="0">
      <pane ySplit="2" topLeftCell="A51" activePane="bottomLeft" state="frozen"/>
      <selection pane="bottomLeft" activeCell="K70" sqref="K70"/>
    </sheetView>
  </sheetViews>
  <sheetFormatPr defaultColWidth="20" defaultRowHeight="14.4" x14ac:dyDescent="0.3"/>
  <cols>
    <col min="1" max="1" width="7" customWidth="1"/>
    <col min="2" max="2" width="33.5546875" style="96" customWidth="1"/>
    <col min="3" max="3" width="20.6640625" style="96" customWidth="1"/>
    <col min="4" max="4" width="12.44140625" bestFit="1" customWidth="1"/>
    <col min="5" max="5" width="14.5546875" customWidth="1"/>
    <col min="6" max="6" width="9" bestFit="1" customWidth="1"/>
    <col min="7" max="7" width="12.44140625" customWidth="1"/>
    <col min="8" max="8" width="10.5546875" bestFit="1" customWidth="1"/>
    <col min="9" max="9" width="10.5546875" customWidth="1"/>
    <col min="10" max="10" width="10.5546875" bestFit="1" customWidth="1"/>
    <col min="11" max="11" width="20.5546875" bestFit="1" customWidth="1"/>
    <col min="12" max="12" width="20" style="134"/>
  </cols>
  <sheetData>
    <row r="1" spans="1:11" x14ac:dyDescent="0.3">
      <c r="A1" s="178" t="s">
        <v>163</v>
      </c>
      <c r="B1" s="178"/>
      <c r="C1" s="178"/>
      <c r="D1" s="178"/>
      <c r="E1" s="178"/>
      <c r="F1" s="178"/>
      <c r="G1" s="178"/>
      <c r="H1" s="178"/>
      <c r="I1" s="178"/>
      <c r="J1" s="178"/>
      <c r="K1" s="178"/>
    </row>
    <row r="2" spans="1:11" ht="28.8" x14ac:dyDescent="0.3">
      <c r="A2" s="95" t="s">
        <v>227</v>
      </c>
      <c r="B2" s="95" t="s">
        <v>260</v>
      </c>
      <c r="C2" s="106" t="s">
        <v>261</v>
      </c>
      <c r="D2" s="95" t="s">
        <v>228</v>
      </c>
      <c r="E2" s="95" t="s">
        <v>229</v>
      </c>
      <c r="F2" s="95" t="s">
        <v>230</v>
      </c>
      <c r="G2" s="106" t="s">
        <v>316</v>
      </c>
      <c r="H2" s="95" t="s">
        <v>325</v>
      </c>
      <c r="I2" s="106" t="s">
        <v>326</v>
      </c>
      <c r="J2" s="95" t="s">
        <v>262</v>
      </c>
      <c r="K2" s="95" t="s">
        <v>327</v>
      </c>
    </row>
    <row r="3" spans="1:11" ht="28.8" x14ac:dyDescent="0.3">
      <c r="A3" s="107">
        <v>1</v>
      </c>
      <c r="B3" s="108" t="s">
        <v>167</v>
      </c>
      <c r="C3" s="108" t="s">
        <v>359</v>
      </c>
      <c r="D3" s="107" t="s">
        <v>165</v>
      </c>
      <c r="E3" s="109" t="s">
        <v>166</v>
      </c>
      <c r="F3" s="110">
        <v>25</v>
      </c>
      <c r="G3" s="110">
        <v>25</v>
      </c>
      <c r="H3" s="110">
        <f t="shared" ref="H3:H34" si="0">SUM(F3:G3)</f>
        <v>50</v>
      </c>
      <c r="I3" s="110">
        <f>H3*12</f>
        <v>600</v>
      </c>
      <c r="J3" s="137">
        <v>1.1066666666666667</v>
      </c>
      <c r="K3" s="109">
        <f>I3*J3</f>
        <v>664</v>
      </c>
    </row>
    <row r="4" spans="1:11" ht="28.8" x14ac:dyDescent="0.3">
      <c r="A4" s="107">
        <v>2</v>
      </c>
      <c r="B4" s="108" t="s">
        <v>164</v>
      </c>
      <c r="C4" s="108" t="s">
        <v>360</v>
      </c>
      <c r="D4" s="107" t="s">
        <v>165</v>
      </c>
      <c r="E4" s="109" t="s">
        <v>166</v>
      </c>
      <c r="F4" s="110">
        <v>40</v>
      </c>
      <c r="G4" s="110">
        <v>40</v>
      </c>
      <c r="H4" s="110">
        <f t="shared" si="0"/>
        <v>80</v>
      </c>
      <c r="I4" s="110">
        <f t="shared" ref="I4" si="1">H4*12</f>
        <v>960</v>
      </c>
      <c r="J4" s="137">
        <v>3.1928571428571426</v>
      </c>
      <c r="K4" s="109">
        <f>I4*J4</f>
        <v>3065.1428571428569</v>
      </c>
    </row>
    <row r="5" spans="1:11" ht="28.8" x14ac:dyDescent="0.3">
      <c r="A5" s="107">
        <v>3</v>
      </c>
      <c r="B5" s="108" t="s">
        <v>221</v>
      </c>
      <c r="C5" s="108" t="s">
        <v>361</v>
      </c>
      <c r="D5" s="107" t="s">
        <v>171</v>
      </c>
      <c r="E5" s="109" t="s">
        <v>328</v>
      </c>
      <c r="F5" s="110">
        <v>5</v>
      </c>
      <c r="G5" s="110">
        <v>10</v>
      </c>
      <c r="H5" s="110">
        <f t="shared" si="0"/>
        <v>15</v>
      </c>
      <c r="I5" s="110">
        <f>H5*3</f>
        <v>45</v>
      </c>
      <c r="J5" s="137">
        <v>3.7699999999999996</v>
      </c>
      <c r="K5" s="109">
        <f>I5*J5</f>
        <v>169.64999999999998</v>
      </c>
    </row>
    <row r="6" spans="1:11" ht="28.8" x14ac:dyDescent="0.3">
      <c r="A6" s="107">
        <v>4</v>
      </c>
      <c r="B6" s="108" t="s">
        <v>222</v>
      </c>
      <c r="C6" s="108" t="s">
        <v>362</v>
      </c>
      <c r="D6" s="107" t="s">
        <v>171</v>
      </c>
      <c r="E6" s="109" t="s">
        <v>328</v>
      </c>
      <c r="F6" s="110">
        <v>10</v>
      </c>
      <c r="G6" s="110">
        <v>15</v>
      </c>
      <c r="H6" s="110">
        <f t="shared" si="0"/>
        <v>25</v>
      </c>
      <c r="I6" s="110">
        <f>H6*3</f>
        <v>75</v>
      </c>
      <c r="J6" s="137">
        <v>3.9466666666666668</v>
      </c>
      <c r="K6" s="109">
        <f>I6*J6</f>
        <v>296</v>
      </c>
    </row>
    <row r="7" spans="1:11" ht="43.2" x14ac:dyDescent="0.3">
      <c r="A7" s="107">
        <v>5</v>
      </c>
      <c r="B7" s="108" t="s">
        <v>198</v>
      </c>
      <c r="C7" s="108" t="s">
        <v>363</v>
      </c>
      <c r="D7" s="107" t="s">
        <v>171</v>
      </c>
      <c r="E7" s="109" t="s">
        <v>166</v>
      </c>
      <c r="F7" s="110">
        <v>2</v>
      </c>
      <c r="G7" s="110">
        <v>2</v>
      </c>
      <c r="H7" s="110">
        <f t="shared" si="0"/>
        <v>4</v>
      </c>
      <c r="I7" s="110">
        <f t="shared" ref="I7:I22" si="2">H7*12</f>
        <v>48</v>
      </c>
      <c r="J7" s="137">
        <v>11.083333333333334</v>
      </c>
      <c r="K7" s="109">
        <f t="shared" ref="K7:K22" si="3">I7*J7</f>
        <v>532</v>
      </c>
    </row>
    <row r="8" spans="1:11" ht="28.8" x14ac:dyDescent="0.3">
      <c r="A8" s="107">
        <v>6</v>
      </c>
      <c r="B8" s="108" t="s">
        <v>168</v>
      </c>
      <c r="C8" s="108" t="s">
        <v>364</v>
      </c>
      <c r="D8" s="107" t="s">
        <v>169</v>
      </c>
      <c r="E8" s="109" t="s">
        <v>166</v>
      </c>
      <c r="F8" s="110">
        <v>25</v>
      </c>
      <c r="G8" s="110">
        <v>20</v>
      </c>
      <c r="H8" s="110">
        <f t="shared" si="0"/>
        <v>45</v>
      </c>
      <c r="I8" s="110">
        <f t="shared" si="2"/>
        <v>540</v>
      </c>
      <c r="J8" s="137">
        <v>7.2025000000000006</v>
      </c>
      <c r="K8" s="109">
        <f t="shared" si="3"/>
        <v>3889.3500000000004</v>
      </c>
    </row>
    <row r="9" spans="1:11" ht="43.2" x14ac:dyDescent="0.3">
      <c r="A9" s="107">
        <v>7</v>
      </c>
      <c r="B9" s="108" t="s">
        <v>170</v>
      </c>
      <c r="C9" s="108" t="s">
        <v>365</v>
      </c>
      <c r="D9" s="107" t="s">
        <v>171</v>
      </c>
      <c r="E9" s="109" t="s">
        <v>166</v>
      </c>
      <c r="F9" s="110">
        <v>50</v>
      </c>
      <c r="G9" s="110">
        <v>100</v>
      </c>
      <c r="H9" s="110">
        <f t="shared" si="0"/>
        <v>150</v>
      </c>
      <c r="I9" s="110">
        <f t="shared" si="2"/>
        <v>1800</v>
      </c>
      <c r="J9" s="137">
        <v>4.7479166666666668</v>
      </c>
      <c r="K9" s="109">
        <f t="shared" si="3"/>
        <v>8546.25</v>
      </c>
    </row>
    <row r="10" spans="1:11" ht="43.2" x14ac:dyDescent="0.3">
      <c r="A10" s="107">
        <v>8</v>
      </c>
      <c r="B10" s="108" t="s">
        <v>172</v>
      </c>
      <c r="C10" s="108" t="s">
        <v>366</v>
      </c>
      <c r="D10" s="107" t="s">
        <v>169</v>
      </c>
      <c r="E10" s="109" t="s">
        <v>166</v>
      </c>
      <c r="F10" s="110">
        <v>6</v>
      </c>
      <c r="G10" s="110">
        <v>6</v>
      </c>
      <c r="H10" s="110">
        <f t="shared" si="0"/>
        <v>12</v>
      </c>
      <c r="I10" s="110">
        <f t="shared" si="2"/>
        <v>144</v>
      </c>
      <c r="J10" s="137">
        <v>47.853333333333332</v>
      </c>
      <c r="K10" s="109">
        <f t="shared" si="3"/>
        <v>6890.88</v>
      </c>
    </row>
    <row r="11" spans="1:11" ht="28.8" x14ac:dyDescent="0.3">
      <c r="A11" s="107">
        <v>9</v>
      </c>
      <c r="B11" s="108" t="s">
        <v>173</v>
      </c>
      <c r="C11" s="108" t="s">
        <v>367</v>
      </c>
      <c r="D11" s="107" t="s">
        <v>171</v>
      </c>
      <c r="E11" s="109" t="s">
        <v>166</v>
      </c>
      <c r="F11" s="110">
        <v>4</v>
      </c>
      <c r="G11" s="110">
        <v>2</v>
      </c>
      <c r="H11" s="110">
        <f t="shared" si="0"/>
        <v>6</v>
      </c>
      <c r="I11" s="110">
        <f t="shared" si="2"/>
        <v>72</v>
      </c>
      <c r="J11" s="137">
        <v>10.01</v>
      </c>
      <c r="K11" s="109">
        <f t="shared" si="3"/>
        <v>720.72</v>
      </c>
    </row>
    <row r="12" spans="1:11" ht="28.8" x14ac:dyDescent="0.3">
      <c r="A12" s="107">
        <v>10</v>
      </c>
      <c r="B12" s="108" t="s">
        <v>175</v>
      </c>
      <c r="C12" s="108" t="s">
        <v>367</v>
      </c>
      <c r="D12" s="107" t="s">
        <v>171</v>
      </c>
      <c r="E12" s="109" t="s">
        <v>166</v>
      </c>
      <c r="F12" s="110">
        <v>10</v>
      </c>
      <c r="G12" s="110">
        <v>6</v>
      </c>
      <c r="H12" s="110">
        <f t="shared" si="0"/>
        <v>16</v>
      </c>
      <c r="I12" s="110">
        <f t="shared" si="2"/>
        <v>192</v>
      </c>
      <c r="J12" s="137">
        <v>12.576666666666666</v>
      </c>
      <c r="K12" s="109">
        <f t="shared" si="3"/>
        <v>2414.7199999999998</v>
      </c>
    </row>
    <row r="13" spans="1:11" ht="28.8" x14ac:dyDescent="0.3">
      <c r="A13" s="107">
        <v>11</v>
      </c>
      <c r="B13" s="108" t="s">
        <v>224</v>
      </c>
      <c r="C13" s="108" t="s">
        <v>368</v>
      </c>
      <c r="D13" s="107" t="s">
        <v>171</v>
      </c>
      <c r="E13" s="109" t="s">
        <v>166</v>
      </c>
      <c r="F13" s="110">
        <v>8</v>
      </c>
      <c r="G13" s="110">
        <v>8</v>
      </c>
      <c r="H13" s="110">
        <f t="shared" si="0"/>
        <v>16</v>
      </c>
      <c r="I13" s="110">
        <f t="shared" si="2"/>
        <v>192</v>
      </c>
      <c r="J13" s="137">
        <v>1.895</v>
      </c>
      <c r="K13" s="109">
        <f t="shared" si="3"/>
        <v>363.84000000000003</v>
      </c>
    </row>
    <row r="14" spans="1:11" ht="28.8" x14ac:dyDescent="0.3">
      <c r="A14" s="107">
        <v>12</v>
      </c>
      <c r="B14" s="108" t="s">
        <v>176</v>
      </c>
      <c r="C14" s="108" t="s">
        <v>368</v>
      </c>
      <c r="D14" s="107" t="s">
        <v>171</v>
      </c>
      <c r="E14" s="109" t="s">
        <v>166</v>
      </c>
      <c r="F14" s="110">
        <v>4</v>
      </c>
      <c r="G14" s="110">
        <v>8</v>
      </c>
      <c r="H14" s="110">
        <f t="shared" si="0"/>
        <v>12</v>
      </c>
      <c r="I14" s="110">
        <f t="shared" si="2"/>
        <v>144</v>
      </c>
      <c r="J14" s="137">
        <v>3.1999999999999997</v>
      </c>
      <c r="K14" s="109">
        <f t="shared" si="3"/>
        <v>460.79999999999995</v>
      </c>
    </row>
    <row r="15" spans="1:11" ht="28.8" x14ac:dyDescent="0.3">
      <c r="A15" s="107">
        <v>13</v>
      </c>
      <c r="B15" s="108" t="s">
        <v>177</v>
      </c>
      <c r="C15" s="108" t="s">
        <v>369</v>
      </c>
      <c r="D15" s="107" t="s">
        <v>171</v>
      </c>
      <c r="E15" s="109" t="s">
        <v>166</v>
      </c>
      <c r="F15" s="110">
        <v>15</v>
      </c>
      <c r="G15" s="110">
        <v>15</v>
      </c>
      <c r="H15" s="110">
        <f t="shared" si="0"/>
        <v>30</v>
      </c>
      <c r="I15" s="110">
        <f t="shared" si="2"/>
        <v>360</v>
      </c>
      <c r="J15" s="137">
        <v>3.8699999999999997</v>
      </c>
      <c r="K15" s="109">
        <f t="shared" si="3"/>
        <v>1393.1999999999998</v>
      </c>
    </row>
    <row r="16" spans="1:11" ht="28.8" x14ac:dyDescent="0.3">
      <c r="A16" s="107">
        <v>14</v>
      </c>
      <c r="B16" s="108" t="s">
        <v>223</v>
      </c>
      <c r="C16" s="108" t="s">
        <v>368</v>
      </c>
      <c r="D16" s="107" t="s">
        <v>171</v>
      </c>
      <c r="E16" s="109" t="s">
        <v>166</v>
      </c>
      <c r="F16" s="110">
        <v>15</v>
      </c>
      <c r="G16" s="110">
        <v>10</v>
      </c>
      <c r="H16" s="110">
        <f t="shared" si="0"/>
        <v>25</v>
      </c>
      <c r="I16" s="110">
        <f t="shared" si="2"/>
        <v>300</v>
      </c>
      <c r="J16" s="137">
        <v>22.577500000000001</v>
      </c>
      <c r="K16" s="109">
        <f t="shared" si="3"/>
        <v>6773.25</v>
      </c>
    </row>
    <row r="17" spans="1:11" ht="43.2" x14ac:dyDescent="0.3">
      <c r="A17" s="107">
        <v>15</v>
      </c>
      <c r="B17" s="108" t="s">
        <v>178</v>
      </c>
      <c r="C17" s="108" t="s">
        <v>370</v>
      </c>
      <c r="D17" s="107" t="s">
        <v>171</v>
      </c>
      <c r="E17" s="109" t="s">
        <v>166</v>
      </c>
      <c r="F17" s="110">
        <v>80</v>
      </c>
      <c r="G17" s="110">
        <v>80</v>
      </c>
      <c r="H17" s="110">
        <f t="shared" si="0"/>
        <v>160</v>
      </c>
      <c r="I17" s="110">
        <f t="shared" si="2"/>
        <v>1920</v>
      </c>
      <c r="J17" s="137">
        <v>0.51428571428571435</v>
      </c>
      <c r="K17" s="109">
        <f t="shared" si="3"/>
        <v>987.42857142857156</v>
      </c>
    </row>
    <row r="18" spans="1:11" ht="28.8" x14ac:dyDescent="0.3">
      <c r="A18" s="107">
        <v>16</v>
      </c>
      <c r="B18" s="108" t="s">
        <v>179</v>
      </c>
      <c r="C18" s="108" t="s">
        <v>371</v>
      </c>
      <c r="D18" s="107" t="s">
        <v>171</v>
      </c>
      <c r="E18" s="109" t="s">
        <v>166</v>
      </c>
      <c r="F18" s="110">
        <v>25</v>
      </c>
      <c r="G18" s="110">
        <v>25</v>
      </c>
      <c r="H18" s="110">
        <f t="shared" si="0"/>
        <v>50</v>
      </c>
      <c r="I18" s="110">
        <f t="shared" si="2"/>
        <v>600</v>
      </c>
      <c r="J18" s="137">
        <v>0.82666666666666666</v>
      </c>
      <c r="K18" s="109">
        <f t="shared" si="3"/>
        <v>496</v>
      </c>
    </row>
    <row r="19" spans="1:11" ht="28.8" x14ac:dyDescent="0.3">
      <c r="A19" s="107">
        <v>17</v>
      </c>
      <c r="B19" s="108" t="s">
        <v>180</v>
      </c>
      <c r="C19" s="108" t="s">
        <v>372</v>
      </c>
      <c r="D19" s="107" t="s">
        <v>171</v>
      </c>
      <c r="E19" s="109" t="s">
        <v>166</v>
      </c>
      <c r="F19" s="110">
        <v>40</v>
      </c>
      <c r="G19" s="110">
        <v>40</v>
      </c>
      <c r="H19" s="110">
        <f t="shared" si="0"/>
        <v>80</v>
      </c>
      <c r="I19" s="110">
        <f t="shared" si="2"/>
        <v>960</v>
      </c>
      <c r="J19" s="137">
        <v>1.6157142857142859</v>
      </c>
      <c r="K19" s="109">
        <f t="shared" si="3"/>
        <v>1551.0857142857144</v>
      </c>
    </row>
    <row r="20" spans="1:11" ht="28.8" x14ac:dyDescent="0.3">
      <c r="A20" s="107">
        <v>18</v>
      </c>
      <c r="B20" s="108" t="s">
        <v>181</v>
      </c>
      <c r="C20" s="108" t="s">
        <v>373</v>
      </c>
      <c r="D20" s="107" t="s">
        <v>169</v>
      </c>
      <c r="E20" s="109" t="s">
        <v>166</v>
      </c>
      <c r="F20" s="110">
        <v>20</v>
      </c>
      <c r="G20" s="110">
        <v>20</v>
      </c>
      <c r="H20" s="110">
        <f t="shared" si="0"/>
        <v>40</v>
      </c>
      <c r="I20" s="110">
        <f t="shared" si="2"/>
        <v>480</v>
      </c>
      <c r="J20" s="137">
        <v>26.566666666666663</v>
      </c>
      <c r="K20" s="109">
        <f t="shared" si="3"/>
        <v>12751.999999999998</v>
      </c>
    </row>
    <row r="21" spans="1:11" ht="28.8" x14ac:dyDescent="0.3">
      <c r="A21" s="107">
        <v>19</v>
      </c>
      <c r="B21" s="108" t="s">
        <v>182</v>
      </c>
      <c r="C21" s="108" t="s">
        <v>374</v>
      </c>
      <c r="D21" s="107" t="s">
        <v>169</v>
      </c>
      <c r="E21" s="109" t="s">
        <v>166</v>
      </c>
      <c r="F21" s="110">
        <v>5</v>
      </c>
      <c r="G21" s="110"/>
      <c r="H21" s="110">
        <f t="shared" si="0"/>
        <v>5</v>
      </c>
      <c r="I21" s="110">
        <f t="shared" si="2"/>
        <v>60</v>
      </c>
      <c r="J21" s="137">
        <v>28.966666666666669</v>
      </c>
      <c r="K21" s="109">
        <f t="shared" si="3"/>
        <v>1738</v>
      </c>
    </row>
    <row r="22" spans="1:11" ht="28.8" x14ac:dyDescent="0.3">
      <c r="A22" s="107">
        <v>20</v>
      </c>
      <c r="B22" s="108" t="s">
        <v>184</v>
      </c>
      <c r="C22" s="108" t="s">
        <v>375</v>
      </c>
      <c r="D22" s="107" t="s">
        <v>171</v>
      </c>
      <c r="E22" s="109" t="s">
        <v>166</v>
      </c>
      <c r="F22" s="110">
        <v>12</v>
      </c>
      <c r="G22" s="110">
        <v>12</v>
      </c>
      <c r="H22" s="110">
        <f t="shared" si="0"/>
        <v>24</v>
      </c>
      <c r="I22" s="110">
        <f t="shared" si="2"/>
        <v>288</v>
      </c>
      <c r="J22" s="137">
        <v>6.5250000000000004</v>
      </c>
      <c r="K22" s="109">
        <f t="shared" si="3"/>
        <v>1879.2</v>
      </c>
    </row>
    <row r="23" spans="1:11" ht="28.8" x14ac:dyDescent="0.3">
      <c r="A23" s="107">
        <v>21</v>
      </c>
      <c r="B23" s="108" t="s">
        <v>225</v>
      </c>
      <c r="C23" s="108" t="s">
        <v>376</v>
      </c>
      <c r="D23" s="107" t="s">
        <v>171</v>
      </c>
      <c r="E23" s="109" t="s">
        <v>329</v>
      </c>
      <c r="F23" s="110">
        <v>5</v>
      </c>
      <c r="G23" s="110">
        <v>5</v>
      </c>
      <c r="H23" s="110">
        <f t="shared" si="0"/>
        <v>10</v>
      </c>
      <c r="I23" s="110">
        <v>15</v>
      </c>
      <c r="J23" s="137">
        <v>209.12799999999999</v>
      </c>
      <c r="K23" s="109">
        <f>I23*J23</f>
        <v>3136.9199999999996</v>
      </c>
    </row>
    <row r="24" spans="1:11" ht="43.2" x14ac:dyDescent="0.3">
      <c r="A24" s="107">
        <v>22</v>
      </c>
      <c r="B24" s="108" t="s">
        <v>185</v>
      </c>
      <c r="C24" s="108" t="s">
        <v>377</v>
      </c>
      <c r="D24" s="107" t="s">
        <v>186</v>
      </c>
      <c r="E24" s="109" t="s">
        <v>166</v>
      </c>
      <c r="F24" s="110">
        <v>0</v>
      </c>
      <c r="G24" s="110">
        <v>4</v>
      </c>
      <c r="H24" s="110">
        <f t="shared" si="0"/>
        <v>4</v>
      </c>
      <c r="I24" s="110">
        <f t="shared" ref="I24:I28" si="4">H24*12</f>
        <v>48</v>
      </c>
      <c r="J24" s="137">
        <v>14.79</v>
      </c>
      <c r="K24" s="109">
        <f t="shared" ref="K24:K28" si="5">I24*J24</f>
        <v>709.92</v>
      </c>
    </row>
    <row r="25" spans="1:11" ht="43.2" x14ac:dyDescent="0.3">
      <c r="A25" s="107">
        <v>23</v>
      </c>
      <c r="B25" s="108" t="s">
        <v>187</v>
      </c>
      <c r="C25" s="108" t="s">
        <v>378</v>
      </c>
      <c r="D25" s="107" t="s">
        <v>171</v>
      </c>
      <c r="E25" s="109" t="s">
        <v>166</v>
      </c>
      <c r="F25" s="110">
        <v>20</v>
      </c>
      <c r="G25" s="110">
        <v>20</v>
      </c>
      <c r="H25" s="110">
        <f t="shared" si="0"/>
        <v>40</v>
      </c>
      <c r="I25" s="110">
        <f t="shared" si="4"/>
        <v>480</v>
      </c>
      <c r="J25" s="137">
        <v>2.8280000000000003</v>
      </c>
      <c r="K25" s="109">
        <f t="shared" si="5"/>
        <v>1357.44</v>
      </c>
    </row>
    <row r="26" spans="1:11" ht="115.2" x14ac:dyDescent="0.3">
      <c r="A26" s="107">
        <v>24</v>
      </c>
      <c r="B26" s="108" t="s">
        <v>188</v>
      </c>
      <c r="C26" s="108" t="s">
        <v>379</v>
      </c>
      <c r="D26" s="107" t="s">
        <v>171</v>
      </c>
      <c r="E26" s="109" t="s">
        <v>166</v>
      </c>
      <c r="F26" s="110">
        <v>15</v>
      </c>
      <c r="G26" s="110">
        <v>40</v>
      </c>
      <c r="H26" s="110">
        <f t="shared" si="0"/>
        <v>55</v>
      </c>
      <c r="I26" s="110">
        <f t="shared" si="4"/>
        <v>660</v>
      </c>
      <c r="J26" s="137">
        <v>1.6300000000000001</v>
      </c>
      <c r="K26" s="109">
        <f t="shared" si="5"/>
        <v>1075.8000000000002</v>
      </c>
    </row>
    <row r="27" spans="1:11" ht="72" x14ac:dyDescent="0.3">
      <c r="A27" s="107">
        <v>25</v>
      </c>
      <c r="B27" s="108" t="s">
        <v>189</v>
      </c>
      <c r="C27" s="108" t="s">
        <v>380</v>
      </c>
      <c r="D27" s="107" t="s">
        <v>171</v>
      </c>
      <c r="E27" s="109" t="s">
        <v>166</v>
      </c>
      <c r="F27" s="110">
        <v>15</v>
      </c>
      <c r="G27" s="110">
        <v>10</v>
      </c>
      <c r="H27" s="110">
        <f t="shared" si="0"/>
        <v>25</v>
      </c>
      <c r="I27" s="110">
        <f t="shared" si="4"/>
        <v>300</v>
      </c>
      <c r="J27" s="137">
        <v>2.4899999999999998</v>
      </c>
      <c r="K27" s="109">
        <f t="shared" si="5"/>
        <v>746.99999999999989</v>
      </c>
    </row>
    <row r="28" spans="1:11" ht="72" x14ac:dyDescent="0.3">
      <c r="A28" s="107">
        <v>26</v>
      </c>
      <c r="B28" s="108" t="s">
        <v>190</v>
      </c>
      <c r="C28" s="108" t="s">
        <v>381</v>
      </c>
      <c r="D28" s="107" t="s">
        <v>171</v>
      </c>
      <c r="E28" s="109" t="s">
        <v>166</v>
      </c>
      <c r="F28" s="110">
        <v>40</v>
      </c>
      <c r="G28" s="110">
        <v>40</v>
      </c>
      <c r="H28" s="110">
        <f t="shared" si="0"/>
        <v>80</v>
      </c>
      <c r="I28" s="110">
        <f t="shared" si="4"/>
        <v>960</v>
      </c>
      <c r="J28" s="137">
        <v>3.13</v>
      </c>
      <c r="K28" s="109">
        <f t="shared" si="5"/>
        <v>3004.7999999999997</v>
      </c>
    </row>
    <row r="29" spans="1:11" ht="28.8" x14ac:dyDescent="0.3">
      <c r="A29" s="107">
        <v>27</v>
      </c>
      <c r="B29" s="108" t="s">
        <v>191</v>
      </c>
      <c r="C29" s="108" t="s">
        <v>382</v>
      </c>
      <c r="D29" s="107" t="s">
        <v>171</v>
      </c>
      <c r="E29" s="109" t="s">
        <v>328</v>
      </c>
      <c r="F29" s="110">
        <v>10</v>
      </c>
      <c r="G29" s="110">
        <v>10</v>
      </c>
      <c r="H29" s="110">
        <f t="shared" si="0"/>
        <v>20</v>
      </c>
      <c r="I29" s="110">
        <f>H29*3</f>
        <v>60</v>
      </c>
      <c r="J29" s="137">
        <v>2.8479999999999999</v>
      </c>
      <c r="K29" s="109">
        <f>I29*J29</f>
        <v>170.88</v>
      </c>
    </row>
    <row r="30" spans="1:11" ht="43.2" x14ac:dyDescent="0.3">
      <c r="A30" s="107">
        <v>28</v>
      </c>
      <c r="B30" s="108" t="s">
        <v>192</v>
      </c>
      <c r="C30" s="108" t="s">
        <v>383</v>
      </c>
      <c r="D30" s="107" t="s">
        <v>171</v>
      </c>
      <c r="E30" s="109" t="s">
        <v>166</v>
      </c>
      <c r="F30" s="110">
        <v>50</v>
      </c>
      <c r="G30" s="110">
        <v>50</v>
      </c>
      <c r="H30" s="110">
        <f t="shared" si="0"/>
        <v>100</v>
      </c>
      <c r="I30" s="110">
        <f t="shared" ref="I30:I51" si="6">H30*12</f>
        <v>1200</v>
      </c>
      <c r="J30" s="137">
        <v>2.2600000000000002</v>
      </c>
      <c r="K30" s="109">
        <f t="shared" ref="K30:K51" si="7">I30*J30</f>
        <v>2712.0000000000005</v>
      </c>
    </row>
    <row r="31" spans="1:11" ht="43.2" x14ac:dyDescent="0.3">
      <c r="A31" s="107">
        <v>29</v>
      </c>
      <c r="B31" s="108" t="s">
        <v>193</v>
      </c>
      <c r="C31" s="108" t="s">
        <v>384</v>
      </c>
      <c r="D31" s="107" t="s">
        <v>171</v>
      </c>
      <c r="E31" s="109" t="s">
        <v>166</v>
      </c>
      <c r="F31" s="110">
        <v>40</v>
      </c>
      <c r="G31" s="110">
        <v>40</v>
      </c>
      <c r="H31" s="110">
        <f t="shared" si="0"/>
        <v>80</v>
      </c>
      <c r="I31" s="110">
        <f t="shared" si="6"/>
        <v>960</v>
      </c>
      <c r="J31" s="137">
        <v>1.3149999999999999</v>
      </c>
      <c r="K31" s="109">
        <f t="shared" si="7"/>
        <v>1262.3999999999999</v>
      </c>
    </row>
    <row r="32" spans="1:11" ht="72" x14ac:dyDescent="0.3">
      <c r="A32" s="107">
        <v>30</v>
      </c>
      <c r="B32" s="108" t="s">
        <v>194</v>
      </c>
      <c r="C32" s="108" t="s">
        <v>385</v>
      </c>
      <c r="D32" s="107" t="s">
        <v>195</v>
      </c>
      <c r="E32" s="109" t="s">
        <v>166</v>
      </c>
      <c r="F32" s="110">
        <v>50</v>
      </c>
      <c r="G32" s="110">
        <v>65</v>
      </c>
      <c r="H32" s="110">
        <f t="shared" si="0"/>
        <v>115</v>
      </c>
      <c r="I32" s="110">
        <f t="shared" si="6"/>
        <v>1380</v>
      </c>
      <c r="J32" s="137">
        <v>56.056666666666672</v>
      </c>
      <c r="K32" s="109">
        <f t="shared" si="7"/>
        <v>77358.200000000012</v>
      </c>
    </row>
    <row r="33" spans="1:11" ht="72" x14ac:dyDescent="0.3">
      <c r="A33" s="107">
        <v>31</v>
      </c>
      <c r="B33" s="108" t="s">
        <v>308</v>
      </c>
      <c r="C33" s="108" t="s">
        <v>386</v>
      </c>
      <c r="D33" s="107" t="s">
        <v>195</v>
      </c>
      <c r="E33" s="109" t="s">
        <v>166</v>
      </c>
      <c r="F33" s="131">
        <v>40</v>
      </c>
      <c r="G33" s="131">
        <v>45</v>
      </c>
      <c r="H33" s="110">
        <f t="shared" si="0"/>
        <v>85</v>
      </c>
      <c r="I33" s="110">
        <f t="shared" si="6"/>
        <v>1020</v>
      </c>
      <c r="J33" s="137">
        <v>69.06</v>
      </c>
      <c r="K33" s="109">
        <f t="shared" si="7"/>
        <v>70441.2</v>
      </c>
    </row>
    <row r="34" spans="1:11" x14ac:dyDescent="0.3">
      <c r="A34" s="107">
        <v>32</v>
      </c>
      <c r="B34" s="108" t="s">
        <v>196</v>
      </c>
      <c r="C34" s="108" t="s">
        <v>387</v>
      </c>
      <c r="D34" s="107" t="s">
        <v>171</v>
      </c>
      <c r="E34" s="109" t="s">
        <v>166</v>
      </c>
      <c r="F34" s="110">
        <v>0</v>
      </c>
      <c r="G34" s="110">
        <v>0</v>
      </c>
      <c r="H34" s="110">
        <f t="shared" si="0"/>
        <v>0</v>
      </c>
      <c r="I34" s="110">
        <f t="shared" si="6"/>
        <v>0</v>
      </c>
      <c r="J34" s="137">
        <v>2.4600000000000004</v>
      </c>
      <c r="K34" s="109">
        <f t="shared" si="7"/>
        <v>0</v>
      </c>
    </row>
    <row r="35" spans="1:11" x14ac:dyDescent="0.3">
      <c r="A35" s="107">
        <v>33</v>
      </c>
      <c r="B35" s="108" t="s">
        <v>197</v>
      </c>
      <c r="C35" s="108" t="s">
        <v>388</v>
      </c>
      <c r="D35" s="107" t="s">
        <v>171</v>
      </c>
      <c r="E35" s="109" t="s">
        <v>166</v>
      </c>
      <c r="F35" s="110">
        <v>90</v>
      </c>
      <c r="G35" s="110">
        <v>100</v>
      </c>
      <c r="H35" s="110">
        <f t="shared" ref="H35:H56" si="8">SUM(F35:G35)</f>
        <v>190</v>
      </c>
      <c r="I35" s="110">
        <f t="shared" si="6"/>
        <v>2280</v>
      </c>
      <c r="J35" s="137">
        <v>0.6166666666666667</v>
      </c>
      <c r="K35" s="109">
        <f t="shared" si="7"/>
        <v>1406</v>
      </c>
    </row>
    <row r="36" spans="1:11" ht="28.8" x14ac:dyDescent="0.3">
      <c r="A36" s="107">
        <v>34</v>
      </c>
      <c r="B36" s="108" t="s">
        <v>199</v>
      </c>
      <c r="C36" s="108" t="s">
        <v>389</v>
      </c>
      <c r="D36" s="107" t="s">
        <v>200</v>
      </c>
      <c r="E36" s="109" t="s">
        <v>166</v>
      </c>
      <c r="F36" s="110">
        <v>0</v>
      </c>
      <c r="G36" s="110">
        <v>5</v>
      </c>
      <c r="H36" s="110">
        <f t="shared" si="8"/>
        <v>5</v>
      </c>
      <c r="I36" s="110">
        <f t="shared" si="6"/>
        <v>60</v>
      </c>
      <c r="J36" s="137">
        <v>80.016666666666666</v>
      </c>
      <c r="K36" s="109">
        <f t="shared" si="7"/>
        <v>4801</v>
      </c>
    </row>
    <row r="37" spans="1:11" ht="28.8" x14ac:dyDescent="0.3">
      <c r="A37" s="107">
        <v>35</v>
      </c>
      <c r="B37" s="108" t="s">
        <v>201</v>
      </c>
      <c r="C37" s="108" t="s">
        <v>389</v>
      </c>
      <c r="D37" s="107" t="s">
        <v>169</v>
      </c>
      <c r="E37" s="109" t="s">
        <v>166</v>
      </c>
      <c r="F37" s="110">
        <v>8</v>
      </c>
      <c r="G37" s="110">
        <v>20</v>
      </c>
      <c r="H37" s="110">
        <f t="shared" si="8"/>
        <v>28</v>
      </c>
      <c r="I37" s="110">
        <f t="shared" si="6"/>
        <v>336</v>
      </c>
      <c r="J37" s="137">
        <v>8.51</v>
      </c>
      <c r="K37" s="109">
        <f t="shared" si="7"/>
        <v>2859.36</v>
      </c>
    </row>
    <row r="38" spans="1:11" ht="43.2" x14ac:dyDescent="0.3">
      <c r="A38" s="107">
        <v>36</v>
      </c>
      <c r="B38" s="108" t="s">
        <v>202</v>
      </c>
      <c r="C38" s="108" t="s">
        <v>390</v>
      </c>
      <c r="D38" s="107" t="s">
        <v>171</v>
      </c>
      <c r="E38" s="109" t="s">
        <v>166</v>
      </c>
      <c r="F38" s="110">
        <v>20</v>
      </c>
      <c r="G38" s="110">
        <v>15</v>
      </c>
      <c r="H38" s="110">
        <f t="shared" si="8"/>
        <v>35</v>
      </c>
      <c r="I38" s="110">
        <f t="shared" si="6"/>
        <v>420</v>
      </c>
      <c r="J38" s="137">
        <v>5.9350000000000005</v>
      </c>
      <c r="K38" s="109">
        <f t="shared" si="7"/>
        <v>2492.7000000000003</v>
      </c>
    </row>
    <row r="39" spans="1:11" ht="43.2" x14ac:dyDescent="0.3">
      <c r="A39" s="107">
        <v>37</v>
      </c>
      <c r="B39" s="108" t="s">
        <v>203</v>
      </c>
      <c r="C39" s="108" t="s">
        <v>391</v>
      </c>
      <c r="D39" s="107" t="s">
        <v>171</v>
      </c>
      <c r="E39" s="109" t="s">
        <v>166</v>
      </c>
      <c r="F39" s="110">
        <v>20</v>
      </c>
      <c r="G39" s="110">
        <v>25</v>
      </c>
      <c r="H39" s="110">
        <f t="shared" si="8"/>
        <v>45</v>
      </c>
      <c r="I39" s="110">
        <f t="shared" si="6"/>
        <v>540</v>
      </c>
      <c r="J39" s="137">
        <v>4.5425000000000004</v>
      </c>
      <c r="K39" s="109">
        <f t="shared" si="7"/>
        <v>2452.9500000000003</v>
      </c>
    </row>
    <row r="40" spans="1:11" ht="28.8" x14ac:dyDescent="0.3">
      <c r="A40" s="107">
        <v>38</v>
      </c>
      <c r="B40" s="108" t="s">
        <v>204</v>
      </c>
      <c r="C40" s="108" t="s">
        <v>392</v>
      </c>
      <c r="D40" s="107" t="s">
        <v>171</v>
      </c>
      <c r="E40" s="109" t="s">
        <v>166</v>
      </c>
      <c r="F40" s="110">
        <v>50</v>
      </c>
      <c r="G40" s="110">
        <v>50</v>
      </c>
      <c r="H40" s="110">
        <f t="shared" si="8"/>
        <v>100</v>
      </c>
      <c r="I40" s="110">
        <f t="shared" si="6"/>
        <v>1200</v>
      </c>
      <c r="J40" s="137">
        <v>2.59</v>
      </c>
      <c r="K40" s="109">
        <f t="shared" si="7"/>
        <v>3108</v>
      </c>
    </row>
    <row r="41" spans="1:11" ht="28.8" x14ac:dyDescent="0.3">
      <c r="A41" s="107">
        <v>39</v>
      </c>
      <c r="B41" s="108" t="s">
        <v>205</v>
      </c>
      <c r="C41" s="108" t="s">
        <v>393</v>
      </c>
      <c r="D41" s="107" t="s">
        <v>206</v>
      </c>
      <c r="E41" s="109" t="s">
        <v>166</v>
      </c>
      <c r="F41" s="110">
        <v>8</v>
      </c>
      <c r="G41" s="110">
        <v>7</v>
      </c>
      <c r="H41" s="110">
        <f t="shared" si="8"/>
        <v>15</v>
      </c>
      <c r="I41" s="110">
        <f t="shared" si="6"/>
        <v>180</v>
      </c>
      <c r="J41" s="137">
        <v>39.25</v>
      </c>
      <c r="K41" s="109">
        <f t="shared" si="7"/>
        <v>7065</v>
      </c>
    </row>
    <row r="42" spans="1:11" ht="28.8" x14ac:dyDescent="0.3">
      <c r="A42" s="107">
        <v>40</v>
      </c>
      <c r="B42" s="108" t="s">
        <v>207</v>
      </c>
      <c r="C42" s="108" t="s">
        <v>394</v>
      </c>
      <c r="D42" s="107" t="s">
        <v>169</v>
      </c>
      <c r="E42" s="109" t="s">
        <v>166</v>
      </c>
      <c r="F42" s="110">
        <v>50</v>
      </c>
      <c r="G42" s="110">
        <v>50</v>
      </c>
      <c r="H42" s="110">
        <f t="shared" si="8"/>
        <v>100</v>
      </c>
      <c r="I42" s="110">
        <f t="shared" si="6"/>
        <v>1200</v>
      </c>
      <c r="J42" s="137">
        <v>9.9233333333333338</v>
      </c>
      <c r="K42" s="109">
        <f t="shared" si="7"/>
        <v>11908</v>
      </c>
    </row>
    <row r="43" spans="1:11" ht="28.8" x14ac:dyDescent="0.3">
      <c r="A43" s="107">
        <v>41</v>
      </c>
      <c r="B43" s="108" t="s">
        <v>226</v>
      </c>
      <c r="C43" s="108" t="s">
        <v>395</v>
      </c>
      <c r="D43" s="107" t="s">
        <v>171</v>
      </c>
      <c r="E43" s="109" t="s">
        <v>166</v>
      </c>
      <c r="F43" s="110">
        <v>2</v>
      </c>
      <c r="G43" s="110">
        <v>2</v>
      </c>
      <c r="H43" s="110">
        <f t="shared" si="8"/>
        <v>4</v>
      </c>
      <c r="I43" s="110">
        <f t="shared" si="6"/>
        <v>48</v>
      </c>
      <c r="J43" s="137">
        <v>6.8433333333333337</v>
      </c>
      <c r="K43" s="109">
        <f t="shared" si="7"/>
        <v>328.48</v>
      </c>
    </row>
    <row r="44" spans="1:11" ht="28.8" x14ac:dyDescent="0.3">
      <c r="A44" s="107">
        <v>42</v>
      </c>
      <c r="B44" s="108" t="s">
        <v>208</v>
      </c>
      <c r="C44" s="108" t="s">
        <v>395</v>
      </c>
      <c r="D44" s="107" t="s">
        <v>171</v>
      </c>
      <c r="E44" s="109" t="s">
        <v>166</v>
      </c>
      <c r="F44" s="110">
        <v>700</v>
      </c>
      <c r="G44" s="110">
        <v>900</v>
      </c>
      <c r="H44" s="110">
        <f t="shared" si="8"/>
        <v>1600</v>
      </c>
      <c r="I44" s="110">
        <f t="shared" si="6"/>
        <v>19200</v>
      </c>
      <c r="J44" s="137">
        <v>0.21303333333333332</v>
      </c>
      <c r="K44" s="109">
        <f t="shared" si="7"/>
        <v>4090.24</v>
      </c>
    </row>
    <row r="45" spans="1:11" ht="28.8" x14ac:dyDescent="0.3">
      <c r="A45" s="107">
        <v>43</v>
      </c>
      <c r="B45" s="108" t="s">
        <v>209</v>
      </c>
      <c r="C45" s="108" t="s">
        <v>395</v>
      </c>
      <c r="D45" s="107" t="s">
        <v>171</v>
      </c>
      <c r="E45" s="109" t="s">
        <v>166</v>
      </c>
      <c r="F45" s="110">
        <v>700</v>
      </c>
      <c r="G45" s="110">
        <v>900</v>
      </c>
      <c r="H45" s="110">
        <f t="shared" si="8"/>
        <v>1600</v>
      </c>
      <c r="I45" s="110">
        <f t="shared" si="6"/>
        <v>19200</v>
      </c>
      <c r="J45" s="137">
        <v>0.16449999999999998</v>
      </c>
      <c r="K45" s="109">
        <f t="shared" si="7"/>
        <v>3158.3999999999996</v>
      </c>
    </row>
    <row r="46" spans="1:11" ht="28.8" x14ac:dyDescent="0.3">
      <c r="A46" s="107">
        <v>44</v>
      </c>
      <c r="B46" s="108" t="s">
        <v>210</v>
      </c>
      <c r="C46" s="108" t="s">
        <v>395</v>
      </c>
      <c r="D46" s="107" t="s">
        <v>171</v>
      </c>
      <c r="E46" s="109" t="s">
        <v>166</v>
      </c>
      <c r="F46" s="110">
        <v>500</v>
      </c>
      <c r="G46" s="110">
        <v>600</v>
      </c>
      <c r="H46" s="110">
        <f t="shared" si="8"/>
        <v>1100</v>
      </c>
      <c r="I46" s="110">
        <f t="shared" si="6"/>
        <v>13200</v>
      </c>
      <c r="J46" s="137">
        <v>0.21636666666666668</v>
      </c>
      <c r="K46" s="109">
        <f t="shared" si="7"/>
        <v>2856.04</v>
      </c>
    </row>
    <row r="47" spans="1:11" ht="28.8" x14ac:dyDescent="0.3">
      <c r="A47" s="107">
        <v>45</v>
      </c>
      <c r="B47" s="108" t="s">
        <v>215</v>
      </c>
      <c r="C47" s="108" t="s">
        <v>395</v>
      </c>
      <c r="D47" s="107" t="s">
        <v>171</v>
      </c>
      <c r="E47" s="109" t="s">
        <v>166</v>
      </c>
      <c r="F47" s="110">
        <v>0</v>
      </c>
      <c r="G47" s="110">
        <v>0</v>
      </c>
      <c r="H47" s="110">
        <f t="shared" si="8"/>
        <v>0</v>
      </c>
      <c r="I47" s="110">
        <f t="shared" si="6"/>
        <v>0</v>
      </c>
      <c r="J47" s="137">
        <v>0.10003333333333335</v>
      </c>
      <c r="K47" s="109">
        <f t="shared" si="7"/>
        <v>0</v>
      </c>
    </row>
    <row r="48" spans="1:11" ht="28.8" x14ac:dyDescent="0.3">
      <c r="A48" s="107">
        <v>46</v>
      </c>
      <c r="B48" s="108" t="s">
        <v>212</v>
      </c>
      <c r="C48" s="108" t="s">
        <v>395</v>
      </c>
      <c r="D48" s="107" t="s">
        <v>171</v>
      </c>
      <c r="E48" s="109" t="s">
        <v>166</v>
      </c>
      <c r="F48" s="110">
        <v>700</v>
      </c>
      <c r="G48" s="110">
        <v>700</v>
      </c>
      <c r="H48" s="110">
        <f t="shared" si="8"/>
        <v>1400</v>
      </c>
      <c r="I48" s="110">
        <f t="shared" si="6"/>
        <v>16800</v>
      </c>
      <c r="J48" s="137">
        <v>6.8250000000000005E-2</v>
      </c>
      <c r="K48" s="109">
        <f t="shared" si="7"/>
        <v>1146.6000000000001</v>
      </c>
    </row>
    <row r="49" spans="1:13" ht="28.8" x14ac:dyDescent="0.3">
      <c r="A49" s="107">
        <v>47</v>
      </c>
      <c r="B49" s="108" t="s">
        <v>213</v>
      </c>
      <c r="C49" s="108" t="s">
        <v>395</v>
      </c>
      <c r="D49" s="107" t="s">
        <v>171</v>
      </c>
      <c r="E49" s="109" t="s">
        <v>166</v>
      </c>
      <c r="F49" s="110">
        <v>700</v>
      </c>
      <c r="G49" s="110">
        <v>700</v>
      </c>
      <c r="H49" s="110">
        <f t="shared" si="8"/>
        <v>1400</v>
      </c>
      <c r="I49" s="110">
        <f t="shared" si="6"/>
        <v>16800</v>
      </c>
      <c r="J49" s="137">
        <v>5.4400000000000004E-2</v>
      </c>
      <c r="K49" s="109">
        <f t="shared" si="7"/>
        <v>913.92000000000007</v>
      </c>
    </row>
    <row r="50" spans="1:13" ht="28.8" x14ac:dyDescent="0.3">
      <c r="A50" s="107">
        <v>48</v>
      </c>
      <c r="B50" s="108" t="s">
        <v>214</v>
      </c>
      <c r="C50" s="108" t="s">
        <v>395</v>
      </c>
      <c r="D50" s="107" t="s">
        <v>171</v>
      </c>
      <c r="E50" s="109" t="s">
        <v>166</v>
      </c>
      <c r="F50" s="110">
        <v>400</v>
      </c>
      <c r="G50" s="110">
        <v>500</v>
      </c>
      <c r="H50" s="110">
        <f t="shared" si="8"/>
        <v>900</v>
      </c>
      <c r="I50" s="110">
        <f t="shared" si="6"/>
        <v>10800</v>
      </c>
      <c r="J50" s="137">
        <v>6.8750000000000006E-2</v>
      </c>
      <c r="K50" s="109">
        <f t="shared" si="7"/>
        <v>742.50000000000011</v>
      </c>
    </row>
    <row r="51" spans="1:13" ht="28.8" x14ac:dyDescent="0.3">
      <c r="A51" s="107">
        <v>49</v>
      </c>
      <c r="B51" s="108" t="s">
        <v>211</v>
      </c>
      <c r="C51" s="108" t="s">
        <v>395</v>
      </c>
      <c r="D51" s="107" t="s">
        <v>171</v>
      </c>
      <c r="E51" s="109" t="s">
        <v>166</v>
      </c>
      <c r="F51" s="110">
        <v>0</v>
      </c>
      <c r="G51" s="110">
        <v>0</v>
      </c>
      <c r="H51" s="110">
        <f t="shared" si="8"/>
        <v>0</v>
      </c>
      <c r="I51" s="110">
        <f t="shared" si="6"/>
        <v>0</v>
      </c>
      <c r="J51" s="137">
        <v>0.20226666666666668</v>
      </c>
      <c r="K51" s="109">
        <f t="shared" si="7"/>
        <v>0</v>
      </c>
    </row>
    <row r="52" spans="1:13" ht="28.8" x14ac:dyDescent="0.3">
      <c r="A52" s="107">
        <v>50</v>
      </c>
      <c r="B52" s="108" t="s">
        <v>216</v>
      </c>
      <c r="C52" s="108" t="s">
        <v>396</v>
      </c>
      <c r="D52" s="107" t="s">
        <v>171</v>
      </c>
      <c r="E52" s="109" t="s">
        <v>328</v>
      </c>
      <c r="F52" s="110">
        <v>85</v>
      </c>
      <c r="G52" s="110">
        <v>85</v>
      </c>
      <c r="H52" s="110">
        <f t="shared" si="8"/>
        <v>170</v>
      </c>
      <c r="I52" s="110">
        <f>H52*3</f>
        <v>510</v>
      </c>
      <c r="J52" s="137">
        <v>3.1666666666666665</v>
      </c>
      <c r="K52" s="109">
        <f>I52*J52</f>
        <v>1615</v>
      </c>
    </row>
    <row r="53" spans="1:13" ht="28.8" x14ac:dyDescent="0.3">
      <c r="A53" s="107">
        <v>51</v>
      </c>
      <c r="B53" s="108" t="s">
        <v>217</v>
      </c>
      <c r="C53" s="108" t="s">
        <v>397</v>
      </c>
      <c r="D53" s="107" t="s">
        <v>200</v>
      </c>
      <c r="E53" s="109" t="s">
        <v>166</v>
      </c>
      <c r="F53" s="110">
        <v>3</v>
      </c>
      <c r="G53" s="110">
        <v>2</v>
      </c>
      <c r="H53" s="110">
        <f t="shared" si="8"/>
        <v>5</v>
      </c>
      <c r="I53" s="110">
        <f t="shared" ref="I53:I56" si="9">H53*12</f>
        <v>60</v>
      </c>
      <c r="J53" s="137">
        <v>12.54</v>
      </c>
      <c r="K53" s="109">
        <f t="shared" ref="K53:K56" si="10">I53*J53</f>
        <v>752.4</v>
      </c>
    </row>
    <row r="54" spans="1:13" ht="28.8" x14ac:dyDescent="0.3">
      <c r="A54" s="107">
        <v>52</v>
      </c>
      <c r="B54" s="108" t="s">
        <v>218</v>
      </c>
      <c r="C54" s="108" t="s">
        <v>398</v>
      </c>
      <c r="D54" s="107" t="s">
        <v>171</v>
      </c>
      <c r="E54" s="109" t="s">
        <v>166</v>
      </c>
      <c r="F54" s="110">
        <v>10</v>
      </c>
      <c r="G54" s="110">
        <v>10</v>
      </c>
      <c r="H54" s="110">
        <f t="shared" si="8"/>
        <v>20</v>
      </c>
      <c r="I54" s="110">
        <f t="shared" si="9"/>
        <v>240</v>
      </c>
      <c r="J54" s="137">
        <v>6</v>
      </c>
      <c r="K54" s="109">
        <f t="shared" si="10"/>
        <v>1440</v>
      </c>
    </row>
    <row r="55" spans="1:13" ht="28.8" x14ac:dyDescent="0.3">
      <c r="A55" s="107">
        <v>53</v>
      </c>
      <c r="B55" s="108" t="s">
        <v>219</v>
      </c>
      <c r="C55" s="108" t="s">
        <v>398</v>
      </c>
      <c r="D55" s="107" t="s">
        <v>171</v>
      </c>
      <c r="E55" s="109" t="s">
        <v>166</v>
      </c>
      <c r="F55" s="110">
        <v>10</v>
      </c>
      <c r="G55" s="110">
        <v>10</v>
      </c>
      <c r="H55" s="110">
        <f t="shared" si="8"/>
        <v>20</v>
      </c>
      <c r="I55" s="110">
        <f t="shared" si="9"/>
        <v>240</v>
      </c>
      <c r="J55" s="137">
        <v>7.2625000000000002</v>
      </c>
      <c r="K55" s="109">
        <f t="shared" si="10"/>
        <v>1743</v>
      </c>
    </row>
    <row r="56" spans="1:13" ht="28.8" x14ac:dyDescent="0.3">
      <c r="A56" s="107">
        <v>54</v>
      </c>
      <c r="B56" s="108" t="s">
        <v>220</v>
      </c>
      <c r="C56" s="108" t="s">
        <v>398</v>
      </c>
      <c r="D56" s="107" t="s">
        <v>171</v>
      </c>
      <c r="E56" s="109" t="s">
        <v>166</v>
      </c>
      <c r="F56" s="110">
        <v>10</v>
      </c>
      <c r="G56" s="110">
        <v>10</v>
      </c>
      <c r="H56" s="110">
        <f t="shared" si="8"/>
        <v>20</v>
      </c>
      <c r="I56" s="110">
        <f t="shared" si="9"/>
        <v>240</v>
      </c>
      <c r="J56" s="137">
        <v>4.5579999999999998</v>
      </c>
      <c r="K56" s="109">
        <f t="shared" si="10"/>
        <v>1093.92</v>
      </c>
    </row>
    <row r="57" spans="1:13" x14ac:dyDescent="0.3">
      <c r="A57" s="107"/>
      <c r="B57" s="108"/>
      <c r="C57" s="108"/>
      <c r="D57" s="107"/>
      <c r="E57" s="109"/>
      <c r="F57" s="109"/>
      <c r="G57" s="109"/>
      <c r="H57" s="109"/>
      <c r="I57" s="109"/>
      <c r="J57" s="109"/>
      <c r="K57" s="109"/>
    </row>
    <row r="58" spans="1:13" x14ac:dyDescent="0.3">
      <c r="A58" s="184" t="s">
        <v>330</v>
      </c>
      <c r="B58" s="184"/>
      <c r="C58" s="184"/>
      <c r="D58" s="184"/>
      <c r="E58" s="184"/>
      <c r="F58" s="184"/>
      <c r="G58" s="184"/>
      <c r="H58" s="184"/>
      <c r="I58" s="184"/>
      <c r="J58" s="184"/>
      <c r="K58" s="98">
        <f>SUM(K3:K57)</f>
        <v>273533.58714285708</v>
      </c>
      <c r="M58" s="132"/>
    </row>
    <row r="59" spans="1:13" x14ac:dyDescent="0.3">
      <c r="A59" s="185" t="s">
        <v>331</v>
      </c>
      <c r="B59" s="185"/>
      <c r="C59" s="185"/>
      <c r="D59" s="185"/>
      <c r="E59" s="185"/>
      <c r="F59" s="185"/>
      <c r="G59" s="185"/>
      <c r="H59" s="185"/>
      <c r="I59" s="185"/>
      <c r="J59" s="185"/>
      <c r="K59" s="97">
        <f>K58/12</f>
        <v>22794.465595238089</v>
      </c>
      <c r="M59" s="132"/>
    </row>
    <row r="60" spans="1:13" x14ac:dyDescent="0.3">
      <c r="A60" s="185" t="s">
        <v>312</v>
      </c>
      <c r="B60" s="185"/>
      <c r="C60" s="185"/>
      <c r="D60" s="185"/>
      <c r="E60" s="185"/>
      <c r="F60" s="185"/>
      <c r="G60" s="185"/>
      <c r="H60" s="185"/>
      <c r="I60" s="185"/>
      <c r="J60" s="185"/>
      <c r="K60" s="97">
        <f>K59/21</f>
        <v>1085.4507426303851</v>
      </c>
      <c r="M60" s="132"/>
    </row>
    <row r="62" spans="1:13" x14ac:dyDescent="0.3">
      <c r="A62" t="s">
        <v>311</v>
      </c>
    </row>
  </sheetData>
  <sortState xmlns:xlrd2="http://schemas.microsoft.com/office/spreadsheetml/2017/richdata2" ref="B3:K56">
    <sortCondition ref="B3"/>
  </sortState>
  <mergeCells count="4">
    <mergeCell ref="A58:J58"/>
    <mergeCell ref="A59:J59"/>
    <mergeCell ref="A60:J60"/>
    <mergeCell ref="A1:K1"/>
  </mergeCells>
  <pageMargins left="0.511811024" right="0.511811024" top="0.78740157499999996" bottom="0.78740157499999996" header="0.31496062000000002" footer="0.31496062000000002"/>
  <pageSetup paperSize="9" scale="52"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6DBD3-0A68-4C38-8249-DDF8F436C0D8}">
  <dimension ref="B1:K33"/>
  <sheetViews>
    <sheetView showGridLines="0" zoomScaleNormal="100" workbookViewId="0">
      <selection activeCell="J36" sqref="J36"/>
    </sheetView>
  </sheetViews>
  <sheetFormatPr defaultColWidth="39.33203125" defaultRowHeight="13.8" x14ac:dyDescent="0.3"/>
  <cols>
    <col min="1" max="1" width="2.88671875" style="103" customWidth="1"/>
    <col min="2" max="2" width="6.5546875" style="103" bestFit="1" customWidth="1"/>
    <col min="3" max="3" width="4.6640625" style="103" bestFit="1" customWidth="1"/>
    <col min="4" max="4" width="48.33203125" style="103" customWidth="1"/>
    <col min="5" max="5" width="12.33203125" style="103" bestFit="1" customWidth="1"/>
    <col min="6" max="6" width="13.88671875" style="103" bestFit="1" customWidth="1"/>
    <col min="7" max="7" width="22.44140625" style="103" bestFit="1" customWidth="1"/>
    <col min="8" max="8" width="23.33203125" style="103" bestFit="1" customWidth="1"/>
    <col min="9" max="9" width="19.44140625" style="103" bestFit="1" customWidth="1"/>
    <col min="10" max="10" width="17" style="103" bestFit="1" customWidth="1"/>
    <col min="11" max="11" width="22" style="103" bestFit="1" customWidth="1"/>
    <col min="12" max="16384" width="39.33203125" style="103"/>
  </cols>
  <sheetData>
    <row r="1" spans="2:8" x14ac:dyDescent="0.3">
      <c r="D1" s="155"/>
      <c r="E1" s="155"/>
      <c r="F1" s="155"/>
      <c r="G1" s="155"/>
      <c r="H1" s="155"/>
    </row>
    <row r="2" spans="2:8" ht="20.25" customHeight="1" x14ac:dyDescent="0.3">
      <c r="B2" s="186" t="s">
        <v>335</v>
      </c>
      <c r="C2" s="186"/>
      <c r="D2" s="186"/>
      <c r="E2" s="186"/>
      <c r="F2" s="186"/>
      <c r="G2" s="186"/>
      <c r="H2" s="186"/>
    </row>
    <row r="3" spans="2:8" ht="41.4" x14ac:dyDescent="0.3">
      <c r="B3" s="154" t="s">
        <v>313</v>
      </c>
      <c r="C3" s="154" t="s">
        <v>161</v>
      </c>
      <c r="D3" s="154" t="s">
        <v>242</v>
      </c>
      <c r="E3" s="154" t="s">
        <v>321</v>
      </c>
      <c r="F3" s="154" t="s">
        <v>322</v>
      </c>
      <c r="G3" s="154" t="s">
        <v>256</v>
      </c>
      <c r="H3" s="154" t="s">
        <v>315</v>
      </c>
    </row>
    <row r="4" spans="2:8" x14ac:dyDescent="0.3">
      <c r="B4" s="195">
        <v>1</v>
      </c>
      <c r="C4" s="150">
        <v>1</v>
      </c>
      <c r="D4" s="156" t="s">
        <v>336</v>
      </c>
      <c r="E4" s="149">
        <f>$H$18</f>
        <v>5.4599636666666669</v>
      </c>
      <c r="F4" s="149">
        <v>7990.79</v>
      </c>
      <c r="G4" s="149">
        <f t="shared" ref="G4:G10" si="0">E4*F4</f>
        <v>43629.423067963333</v>
      </c>
      <c r="H4" s="149">
        <f t="shared" ref="H4:H10" si="1">G4*12</f>
        <v>523553.07681555999</v>
      </c>
    </row>
    <row r="5" spans="2:8" x14ac:dyDescent="0.3">
      <c r="B5" s="195"/>
      <c r="C5" s="150">
        <v>2</v>
      </c>
      <c r="D5" s="156" t="s">
        <v>337</v>
      </c>
      <c r="E5" s="149">
        <f>$K$28</f>
        <v>1.3611965811965812</v>
      </c>
      <c r="F5" s="149">
        <v>2508</v>
      </c>
      <c r="G5" s="149">
        <f t="shared" si="0"/>
        <v>3413.8810256410256</v>
      </c>
      <c r="H5" s="149">
        <f t="shared" si="1"/>
        <v>40966.57230769231</v>
      </c>
    </row>
    <row r="6" spans="2:8" x14ac:dyDescent="0.3">
      <c r="B6" s="195"/>
      <c r="C6" s="160">
        <v>3</v>
      </c>
      <c r="D6" s="156" t="s">
        <v>401</v>
      </c>
      <c r="E6" s="149">
        <f>$K$33</f>
        <v>0.34590739385989255</v>
      </c>
      <c r="F6" s="149">
        <v>2557.62</v>
      </c>
      <c r="G6" s="149">
        <f t="shared" si="0"/>
        <v>884.6996686839384</v>
      </c>
      <c r="H6" s="149">
        <f t="shared" si="1"/>
        <v>10616.396024207261</v>
      </c>
    </row>
    <row r="7" spans="2:8" x14ac:dyDescent="0.3">
      <c r="B7" s="195"/>
      <c r="C7" s="161">
        <v>4</v>
      </c>
      <c r="D7" s="156" t="s">
        <v>338</v>
      </c>
      <c r="E7" s="149">
        <f>$H$18</f>
        <v>5.4599636666666669</v>
      </c>
      <c r="F7" s="149">
        <v>9096.07</v>
      </c>
      <c r="G7" s="149">
        <f t="shared" si="0"/>
        <v>49664.211709456664</v>
      </c>
      <c r="H7" s="149">
        <f t="shared" si="1"/>
        <v>595970.54051347997</v>
      </c>
    </row>
    <row r="8" spans="2:8" x14ac:dyDescent="0.3">
      <c r="B8" s="195"/>
      <c r="C8" s="161">
        <v>5</v>
      </c>
      <c r="D8" s="156" t="s">
        <v>339</v>
      </c>
      <c r="E8" s="149">
        <f>$H$23</f>
        <v>2.1839854666666665</v>
      </c>
      <c r="F8" s="149">
        <v>6359.9699999999993</v>
      </c>
      <c r="G8" s="149">
        <f t="shared" si="0"/>
        <v>13890.082048435997</v>
      </c>
      <c r="H8" s="149">
        <f t="shared" si="1"/>
        <v>166680.98458123195</v>
      </c>
    </row>
    <row r="9" spans="2:8" x14ac:dyDescent="0.3">
      <c r="B9" s="195"/>
      <c r="C9" s="161">
        <v>6</v>
      </c>
      <c r="D9" s="156" t="s">
        <v>340</v>
      </c>
      <c r="E9" s="149">
        <f>$K$28</f>
        <v>1.3611965811965812</v>
      </c>
      <c r="F9" s="149">
        <v>2703.21</v>
      </c>
      <c r="G9" s="149">
        <f t="shared" si="0"/>
        <v>3679.6002102564103</v>
      </c>
      <c r="H9" s="149">
        <f t="shared" si="1"/>
        <v>44155.202523076921</v>
      </c>
    </row>
    <row r="10" spans="2:8" x14ac:dyDescent="0.3">
      <c r="B10" s="195"/>
      <c r="C10" s="161">
        <v>7</v>
      </c>
      <c r="D10" s="157" t="s">
        <v>402</v>
      </c>
      <c r="E10" s="149">
        <f>$K$33</f>
        <v>0.34590739385989255</v>
      </c>
      <c r="F10" s="149">
        <v>3109.9700000000003</v>
      </c>
      <c r="G10" s="149">
        <f t="shared" si="0"/>
        <v>1075.7616176824502</v>
      </c>
      <c r="H10" s="149">
        <f t="shared" si="1"/>
        <v>12909.139412189401</v>
      </c>
    </row>
    <row r="11" spans="2:8" ht="15" customHeight="1" x14ac:dyDescent="0.3">
      <c r="B11" s="187" t="s">
        <v>162</v>
      </c>
      <c r="C11" s="188"/>
      <c r="D11" s="188"/>
      <c r="E11" s="189"/>
      <c r="F11" s="158">
        <f>SUM(F4:F10)</f>
        <v>34325.629999999997</v>
      </c>
      <c r="G11" s="158">
        <f>SUM(G4:G10)</f>
        <v>116237.65934811984</v>
      </c>
      <c r="H11" s="158">
        <f>SUM(H4:H10)</f>
        <v>1394851.9121774379</v>
      </c>
    </row>
    <row r="12" spans="2:8" x14ac:dyDescent="0.3">
      <c r="D12" s="155"/>
      <c r="E12" s="155"/>
      <c r="F12" s="155"/>
      <c r="G12" s="155"/>
      <c r="H12" s="155"/>
    </row>
    <row r="13" spans="2:8" x14ac:dyDescent="0.3">
      <c r="D13" s="155"/>
      <c r="E13" s="155"/>
      <c r="F13" s="155"/>
      <c r="G13" s="155"/>
      <c r="H13" s="155"/>
    </row>
    <row r="14" spans="2:8" x14ac:dyDescent="0.3">
      <c r="D14" s="105"/>
    </row>
    <row r="15" spans="2:8" ht="55.2" x14ac:dyDescent="0.3">
      <c r="D15" s="141" t="s">
        <v>161</v>
      </c>
      <c r="E15" s="141" t="s">
        <v>239</v>
      </c>
      <c r="F15" s="141" t="s">
        <v>247</v>
      </c>
      <c r="G15" s="141" t="s">
        <v>248</v>
      </c>
      <c r="H15" s="141" t="s">
        <v>249</v>
      </c>
    </row>
    <row r="16" spans="2:8" x14ac:dyDescent="0.3">
      <c r="D16" s="196" t="s">
        <v>240</v>
      </c>
      <c r="E16" s="141" t="s">
        <v>127</v>
      </c>
      <c r="F16" s="142" t="s">
        <v>317</v>
      </c>
      <c r="G16" s="143">
        <f>Encarregado!E120</f>
        <v>6412.91</v>
      </c>
      <c r="H16" s="143">
        <f>+G16/(30*1000)</f>
        <v>0.21376366666666666</v>
      </c>
    </row>
    <row r="17" spans="4:11" x14ac:dyDescent="0.3">
      <c r="D17" s="196"/>
      <c r="E17" s="141" t="s">
        <v>139</v>
      </c>
      <c r="F17" s="142" t="s">
        <v>318</v>
      </c>
      <c r="G17" s="143">
        <f>Servente!E119</f>
        <v>5246.2</v>
      </c>
      <c r="H17" s="143">
        <f>G17/1000</f>
        <v>5.2462</v>
      </c>
    </row>
    <row r="18" spans="4:11" x14ac:dyDescent="0.3">
      <c r="D18" s="196"/>
      <c r="E18" s="197" t="s">
        <v>162</v>
      </c>
      <c r="F18" s="197"/>
      <c r="G18" s="197"/>
      <c r="H18" s="144">
        <f>SUM(H16:H17)</f>
        <v>5.4599636666666669</v>
      </c>
    </row>
    <row r="20" spans="4:11" ht="55.2" x14ac:dyDescent="0.3">
      <c r="D20" s="141" t="s">
        <v>161</v>
      </c>
      <c r="E20" s="141" t="s">
        <v>239</v>
      </c>
      <c r="F20" s="141" t="s">
        <v>247</v>
      </c>
      <c r="G20" s="141" t="s">
        <v>248</v>
      </c>
      <c r="H20" s="141" t="s">
        <v>249</v>
      </c>
    </row>
    <row r="21" spans="4:11" x14ac:dyDescent="0.3">
      <c r="D21" s="198" t="s">
        <v>241</v>
      </c>
      <c r="E21" s="141" t="s">
        <v>127</v>
      </c>
      <c r="F21" s="142" t="s">
        <v>399</v>
      </c>
      <c r="G21" s="143">
        <f>G16</f>
        <v>6412.91</v>
      </c>
      <c r="H21" s="143">
        <f>+G21/(30*2500)</f>
        <v>8.5505466666666669E-2</v>
      </c>
    </row>
    <row r="22" spans="4:11" x14ac:dyDescent="0.3">
      <c r="D22" s="198"/>
      <c r="E22" s="141" t="s">
        <v>139</v>
      </c>
      <c r="F22" s="142" t="s">
        <v>400</v>
      </c>
      <c r="G22" s="143">
        <f>G17</f>
        <v>5246.2</v>
      </c>
      <c r="H22" s="143">
        <f>G22/2500</f>
        <v>2.0984799999999999</v>
      </c>
    </row>
    <row r="23" spans="4:11" x14ac:dyDescent="0.3">
      <c r="D23" s="198"/>
      <c r="E23" s="197" t="s">
        <v>162</v>
      </c>
      <c r="F23" s="197"/>
      <c r="G23" s="197"/>
      <c r="H23" s="145">
        <f>SUM(H21:H22)</f>
        <v>2.1839854666666665</v>
      </c>
    </row>
    <row r="25" spans="4:11" ht="55.2" x14ac:dyDescent="0.3">
      <c r="D25" s="141" t="s">
        <v>161</v>
      </c>
      <c r="E25" s="141" t="s">
        <v>239</v>
      </c>
      <c r="F25" s="141" t="s">
        <v>247</v>
      </c>
      <c r="G25" s="141" t="s">
        <v>250</v>
      </c>
      <c r="H25" s="141" t="s">
        <v>251</v>
      </c>
      <c r="I25" s="141" t="s">
        <v>252</v>
      </c>
      <c r="J25" s="141" t="s">
        <v>253</v>
      </c>
      <c r="K25" s="141" t="s">
        <v>254</v>
      </c>
    </row>
    <row r="26" spans="4:11" ht="13.5" customHeight="1" x14ac:dyDescent="0.3">
      <c r="D26" s="190" t="s">
        <v>257</v>
      </c>
      <c r="E26" s="141" t="s">
        <v>127</v>
      </c>
      <c r="F26" s="142" t="s">
        <v>342</v>
      </c>
      <c r="G26" s="142" t="s">
        <v>183</v>
      </c>
      <c r="H26" s="142" t="s">
        <v>245</v>
      </c>
      <c r="I26" s="146">
        <f>(1/30/340)*G26*1/188.76</f>
        <v>8.310168737976225E-6</v>
      </c>
      <c r="J26" s="143">
        <f>G16</f>
        <v>6412.91</v>
      </c>
      <c r="K26" s="143">
        <f>I26*J26</f>
        <v>5.3292364201455111E-2</v>
      </c>
    </row>
    <row r="27" spans="4:11" x14ac:dyDescent="0.3">
      <c r="D27" s="190"/>
      <c r="E27" s="141" t="s">
        <v>139</v>
      </c>
      <c r="F27" s="142" t="s">
        <v>341</v>
      </c>
      <c r="G27" s="142" t="s">
        <v>183</v>
      </c>
      <c r="H27" s="142" t="s">
        <v>245</v>
      </c>
      <c r="I27" s="146">
        <f>(1/340)*G27*1/188.76</f>
        <v>2.4930506213928673E-4</v>
      </c>
      <c r="J27" s="143">
        <f>G17</f>
        <v>5246.2</v>
      </c>
      <c r="K27" s="143">
        <f>I27*J27</f>
        <v>1.307904216995126</v>
      </c>
    </row>
    <row r="28" spans="4:11" x14ac:dyDescent="0.3">
      <c r="D28" s="190"/>
      <c r="E28" s="191" t="s">
        <v>162</v>
      </c>
      <c r="F28" s="192"/>
      <c r="G28" s="192"/>
      <c r="H28" s="192"/>
      <c r="I28" s="192"/>
      <c r="J28" s="193"/>
      <c r="K28" s="147">
        <f>SUM(K26:K27)</f>
        <v>1.3611965811965812</v>
      </c>
    </row>
    <row r="29" spans="4:11" x14ac:dyDescent="0.3">
      <c r="D29" s="101"/>
      <c r="E29" s="102"/>
      <c r="F29" s="102"/>
      <c r="G29" s="102"/>
      <c r="H29" s="102"/>
      <c r="I29" s="102"/>
      <c r="J29" s="102"/>
      <c r="K29" s="104"/>
    </row>
    <row r="30" spans="4:11" ht="55.2" x14ac:dyDescent="0.3">
      <c r="D30" s="141" t="s">
        <v>161</v>
      </c>
      <c r="E30" s="141" t="s">
        <v>239</v>
      </c>
      <c r="F30" s="141" t="s">
        <v>247</v>
      </c>
      <c r="G30" s="141" t="s">
        <v>255</v>
      </c>
      <c r="H30" s="141" t="s">
        <v>251</v>
      </c>
      <c r="I30" s="141" t="s">
        <v>252</v>
      </c>
      <c r="J30" s="141" t="s">
        <v>253</v>
      </c>
      <c r="K30" s="141" t="s">
        <v>254</v>
      </c>
    </row>
    <row r="31" spans="4:11" ht="13.5" customHeight="1" x14ac:dyDescent="0.3">
      <c r="D31" s="194" t="s">
        <v>258</v>
      </c>
      <c r="E31" s="141" t="s">
        <v>127</v>
      </c>
      <c r="F31" s="142" t="s">
        <v>319</v>
      </c>
      <c r="G31" s="142" t="s">
        <v>174</v>
      </c>
      <c r="H31" s="142" t="s">
        <v>246</v>
      </c>
      <c r="I31" s="146">
        <f>(1/4/140)*G31*1/1132.6</f>
        <v>1.2613203501425293E-5</v>
      </c>
      <c r="J31" s="143">
        <f>G16</f>
        <v>6412.91</v>
      </c>
      <c r="K31" s="143">
        <f>I31*J31</f>
        <v>8.0887338866325278E-2</v>
      </c>
    </row>
    <row r="32" spans="4:11" x14ac:dyDescent="0.3">
      <c r="D32" s="194"/>
      <c r="E32" s="141" t="s">
        <v>139</v>
      </c>
      <c r="F32" s="142" t="s">
        <v>320</v>
      </c>
      <c r="G32" s="142" t="s">
        <v>174</v>
      </c>
      <c r="H32" s="142" t="s">
        <v>246</v>
      </c>
      <c r="I32" s="146">
        <f>(1/140)*G32*1/1132.6</f>
        <v>5.0452814005701173E-5</v>
      </c>
      <c r="J32" s="143">
        <f>Jauzeiro!E119</f>
        <v>5252.83</v>
      </c>
      <c r="K32" s="143">
        <f>I32*J32</f>
        <v>0.26502005499356729</v>
      </c>
    </row>
    <row r="33" spans="4:11" x14ac:dyDescent="0.3">
      <c r="D33" s="194"/>
      <c r="E33" s="191" t="s">
        <v>162</v>
      </c>
      <c r="F33" s="192"/>
      <c r="G33" s="192"/>
      <c r="H33" s="192"/>
      <c r="I33" s="192"/>
      <c r="J33" s="193"/>
      <c r="K33" s="148">
        <f>SUM(K31:K32)</f>
        <v>0.34590739385989255</v>
      </c>
    </row>
  </sheetData>
  <mergeCells count="11">
    <mergeCell ref="B2:H2"/>
    <mergeCell ref="B11:E11"/>
    <mergeCell ref="D26:D28"/>
    <mergeCell ref="E28:J28"/>
    <mergeCell ref="D31:D33"/>
    <mergeCell ref="E33:J33"/>
    <mergeCell ref="B4:B10"/>
    <mergeCell ref="D16:D18"/>
    <mergeCell ref="E18:G18"/>
    <mergeCell ref="D21:D23"/>
    <mergeCell ref="E23:G23"/>
  </mergeCells>
  <pageMargins left="0.25" right="0.25" top="0.75" bottom="0.75" header="0.3" footer="0.3"/>
  <pageSetup paperSize="9" scale="7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9"/>
  <dimension ref="A1:K57"/>
  <sheetViews>
    <sheetView topLeftCell="A41" zoomScaleNormal="100" zoomScaleSheetLayoutView="85" workbookViewId="0">
      <selection activeCell="B26" sqref="B26"/>
    </sheetView>
  </sheetViews>
  <sheetFormatPr defaultColWidth="9.109375" defaultRowHeight="14.4" x14ac:dyDescent="0.3"/>
  <cols>
    <col min="1" max="1" width="5" style="71" customWidth="1"/>
    <col min="2" max="2" width="111.6640625" style="71" customWidth="1"/>
    <col min="3" max="3" width="19.6640625" style="71" bestFit="1" customWidth="1"/>
    <col min="4" max="4" width="12.109375" style="71" bestFit="1" customWidth="1"/>
    <col min="5" max="5" width="28.109375" style="71" bestFit="1" customWidth="1"/>
    <col min="6" max="6" width="29.5546875" style="71" customWidth="1"/>
    <col min="7" max="7" width="33.44140625" style="71" customWidth="1"/>
    <col min="8" max="8" width="28.33203125" style="71" customWidth="1"/>
    <col min="9" max="9" width="4.44140625" style="71" customWidth="1"/>
    <col min="10" max="10" width="9.109375" style="71"/>
    <col min="11" max="11" width="10" style="71" bestFit="1" customWidth="1"/>
    <col min="12" max="16384" width="9.109375" style="71"/>
  </cols>
  <sheetData>
    <row r="1" spans="1:11" ht="18" x14ac:dyDescent="0.3">
      <c r="A1" s="99"/>
      <c r="B1" s="199" t="s">
        <v>137</v>
      </c>
      <c r="C1" s="199"/>
      <c r="D1" s="6"/>
      <c r="E1" s="6"/>
      <c r="F1" s="6"/>
      <c r="G1" s="6"/>
      <c r="H1" s="6"/>
      <c r="I1" s="6"/>
    </row>
    <row r="2" spans="1:11" x14ac:dyDescent="0.3">
      <c r="A2" s="100"/>
      <c r="B2" s="200" t="s">
        <v>238</v>
      </c>
      <c r="C2" s="200"/>
      <c r="D2" s="6"/>
      <c r="E2" s="6"/>
      <c r="F2" s="6"/>
      <c r="G2" s="6"/>
      <c r="H2" s="6"/>
      <c r="I2" s="6"/>
    </row>
    <row r="4" spans="1:11" ht="32.25" customHeight="1" x14ac:dyDescent="0.3">
      <c r="B4" s="204" t="s">
        <v>343</v>
      </c>
      <c r="C4" s="2" t="s">
        <v>138</v>
      </c>
      <c r="D4" s="3">
        <v>2397.73</v>
      </c>
    </row>
    <row r="5" spans="1:11" ht="33" customHeight="1" x14ac:dyDescent="0.3">
      <c r="B5" s="205"/>
      <c r="C5" s="2" t="s">
        <v>139</v>
      </c>
      <c r="D5" s="3">
        <v>1198.8699999999999</v>
      </c>
    </row>
    <row r="6" spans="1:11" ht="31.5" customHeight="1" x14ac:dyDescent="0.3">
      <c r="B6" s="206"/>
      <c r="C6" s="2" t="s">
        <v>140</v>
      </c>
      <c r="D6" s="3">
        <v>1421.4</v>
      </c>
    </row>
    <row r="9" spans="1:11" ht="36" customHeight="1" x14ac:dyDescent="0.3">
      <c r="B9" s="201" t="s">
        <v>86</v>
      </c>
      <c r="C9" s="201"/>
      <c r="J9" s="72"/>
      <c r="K9" s="72"/>
    </row>
    <row r="10" spans="1:11" ht="39" customHeight="1" x14ac:dyDescent="0.3">
      <c r="B10" s="202" t="s">
        <v>51</v>
      </c>
      <c r="C10" s="202"/>
      <c r="E10" s="1"/>
      <c r="J10" s="72"/>
      <c r="K10" s="72"/>
    </row>
    <row r="11" spans="1:11" ht="54.75" customHeight="1" x14ac:dyDescent="0.3">
      <c r="B11" s="73" t="s">
        <v>91</v>
      </c>
      <c r="C11" s="4" t="s">
        <v>20</v>
      </c>
      <c r="J11" s="72"/>
      <c r="K11" s="72"/>
    </row>
    <row r="12" spans="1:11" ht="15.6" x14ac:dyDescent="0.3">
      <c r="B12" s="128" t="s">
        <v>290</v>
      </c>
      <c r="C12" s="75">
        <v>8.3299999999999999E-2</v>
      </c>
    </row>
    <row r="13" spans="1:11" ht="15.6" x14ac:dyDescent="0.3">
      <c r="B13" s="128" t="s">
        <v>293</v>
      </c>
      <c r="C13" s="75">
        <f>1/3*8.93%</f>
        <v>2.9766666666666663E-2</v>
      </c>
    </row>
    <row r="14" spans="1:11" ht="15.6" x14ac:dyDescent="0.3">
      <c r="B14" s="128" t="s">
        <v>294</v>
      </c>
      <c r="C14" s="75">
        <f>(C12+C13)*C25</f>
        <v>4.1608533333333336E-2</v>
      </c>
      <c r="E14" s="125"/>
      <c r="F14" s="126"/>
      <c r="G14" s="121"/>
      <c r="H14" s="127"/>
    </row>
    <row r="15" spans="1:11" ht="36.75" customHeight="1" x14ac:dyDescent="0.3">
      <c r="B15" s="76" t="s">
        <v>87</v>
      </c>
      <c r="C15" s="4">
        <f>SUM(C12:C14)</f>
        <v>0.15467520000000001</v>
      </c>
    </row>
    <row r="16" spans="1:11" ht="15.6" x14ac:dyDescent="0.3">
      <c r="B16" s="73" t="s">
        <v>90</v>
      </c>
      <c r="C16" s="4"/>
      <c r="E16" s="207"/>
      <c r="F16" s="207"/>
      <c r="G16" s="207"/>
    </row>
    <row r="17" spans="2:8" ht="23.25" customHeight="1" x14ac:dyDescent="0.3">
      <c r="B17" s="74" t="s">
        <v>89</v>
      </c>
      <c r="C17" s="75">
        <v>0.2</v>
      </c>
      <c r="E17" s="203"/>
      <c r="F17" s="207"/>
      <c r="G17" s="203"/>
    </row>
    <row r="18" spans="2:8" ht="31.2" x14ac:dyDescent="0.3">
      <c r="B18" s="74" t="s">
        <v>102</v>
      </c>
      <c r="C18" s="75">
        <v>2.5000000000000001E-2</v>
      </c>
      <c r="E18" s="203"/>
      <c r="F18" s="207"/>
      <c r="G18" s="203"/>
    </row>
    <row r="19" spans="2:8" ht="15.6" x14ac:dyDescent="0.3">
      <c r="B19" s="74" t="s">
        <v>332</v>
      </c>
      <c r="C19" s="77">
        <v>0.03</v>
      </c>
      <c r="E19" s="5"/>
      <c r="F19" s="83"/>
      <c r="G19" s="7"/>
    </row>
    <row r="20" spans="2:8" ht="15.6" x14ac:dyDescent="0.3">
      <c r="B20" s="74" t="s">
        <v>103</v>
      </c>
      <c r="C20" s="75">
        <v>1.4999999999999999E-2</v>
      </c>
      <c r="E20" s="5"/>
      <c r="F20" s="83"/>
      <c r="G20" s="7"/>
    </row>
    <row r="21" spans="2:8" ht="15.6" x14ac:dyDescent="0.3">
      <c r="B21" s="74" t="s">
        <v>104</v>
      </c>
      <c r="C21" s="75">
        <v>0.01</v>
      </c>
      <c r="E21" s="5"/>
      <c r="F21" s="84"/>
      <c r="G21" s="7"/>
    </row>
    <row r="22" spans="2:8" ht="15.75" customHeight="1" x14ac:dyDescent="0.3">
      <c r="B22" s="74" t="s">
        <v>105</v>
      </c>
      <c r="C22" s="75">
        <v>6.0000000000000001E-3</v>
      </c>
      <c r="E22" s="5"/>
      <c r="F22" s="6"/>
      <c r="G22" s="7"/>
      <c r="H22" s="8"/>
    </row>
    <row r="23" spans="2:8" ht="32.25" customHeight="1" x14ac:dyDescent="0.3">
      <c r="B23" s="78" t="s">
        <v>107</v>
      </c>
      <c r="C23" s="75">
        <v>2E-3</v>
      </c>
      <c r="E23" s="207"/>
      <c r="F23" s="207"/>
      <c r="G23" s="207"/>
      <c r="H23" s="7"/>
    </row>
    <row r="24" spans="2:8" ht="29.25" customHeight="1" x14ac:dyDescent="0.3">
      <c r="B24" s="74" t="s">
        <v>106</v>
      </c>
      <c r="C24" s="75">
        <v>0.08</v>
      </c>
      <c r="E24" s="203"/>
      <c r="F24" s="207"/>
      <c r="G24" s="203"/>
      <c r="H24" s="7"/>
    </row>
    <row r="25" spans="2:8" ht="21" customHeight="1" x14ac:dyDescent="0.3">
      <c r="B25" s="76" t="s">
        <v>87</v>
      </c>
      <c r="C25" s="4">
        <f>SUM(C17:C24)</f>
        <v>0.36800000000000005</v>
      </c>
      <c r="E25" s="203"/>
      <c r="F25" s="207"/>
      <c r="G25" s="203"/>
      <c r="H25" s="7"/>
    </row>
    <row r="26" spans="2:8" ht="35.25" customHeight="1" x14ac:dyDescent="0.3">
      <c r="B26" s="73" t="s">
        <v>110</v>
      </c>
      <c r="C26" s="4" t="s">
        <v>20</v>
      </c>
      <c r="E26" s="5"/>
      <c r="F26" s="85"/>
      <c r="G26" s="7"/>
      <c r="H26" s="7"/>
    </row>
    <row r="27" spans="2:8" ht="62.4" x14ac:dyDescent="0.3">
      <c r="B27" s="74" t="s">
        <v>297</v>
      </c>
      <c r="C27" s="75">
        <f>1/12*5%</f>
        <v>4.1666666666666666E-3</v>
      </c>
      <c r="E27" s="5"/>
      <c r="F27" s="85"/>
      <c r="G27" s="7"/>
      <c r="H27" s="7"/>
    </row>
    <row r="28" spans="2:8" ht="52.5" customHeight="1" x14ac:dyDescent="0.3">
      <c r="B28" s="74" t="s">
        <v>92</v>
      </c>
      <c r="C28" s="79">
        <f>C27*C24</f>
        <v>3.3333333333333332E-4</v>
      </c>
      <c r="E28" s="5"/>
      <c r="F28" s="85"/>
      <c r="G28" s="7"/>
      <c r="H28" s="7"/>
    </row>
    <row r="29" spans="2:8" ht="15.6" x14ac:dyDescent="0.3">
      <c r="B29" s="74" t="s">
        <v>291</v>
      </c>
      <c r="C29" s="75">
        <v>0</v>
      </c>
      <c r="E29" s="5"/>
      <c r="F29" s="6"/>
      <c r="G29" s="7"/>
      <c r="H29" s="8"/>
    </row>
    <row r="30" spans="2:8" ht="78" x14ac:dyDescent="0.3">
      <c r="B30" s="74" t="s">
        <v>298</v>
      </c>
      <c r="C30" s="75">
        <f>7/30/12</f>
        <v>1.9444444444444445E-2</v>
      </c>
    </row>
    <row r="31" spans="2:8" ht="26.25" customHeight="1" x14ac:dyDescent="0.3">
      <c r="B31" s="78" t="s">
        <v>109</v>
      </c>
      <c r="C31" s="79">
        <f>C25*C30</f>
        <v>7.1555555555555565E-3</v>
      </c>
    </row>
    <row r="32" spans="2:8" ht="62.4" x14ac:dyDescent="0.3">
      <c r="B32" s="74" t="s">
        <v>292</v>
      </c>
      <c r="C32" s="75">
        <v>0.05</v>
      </c>
    </row>
    <row r="33" spans="1:5" ht="24.75" customHeight="1" x14ac:dyDescent="0.3">
      <c r="B33" s="76" t="s">
        <v>87</v>
      </c>
      <c r="C33" s="4">
        <f>SUM(C27:C32)</f>
        <v>8.1100000000000005E-2</v>
      </c>
    </row>
    <row r="34" spans="1:5" ht="52.5" customHeight="1" x14ac:dyDescent="0.3">
      <c r="B34" s="73" t="s">
        <v>111</v>
      </c>
      <c r="C34" s="4" t="s">
        <v>20</v>
      </c>
    </row>
    <row r="35" spans="1:5" ht="39.75" customHeight="1" x14ac:dyDescent="0.3">
      <c r="B35" s="73" t="s">
        <v>113</v>
      </c>
      <c r="C35" s="4"/>
    </row>
    <row r="36" spans="1:5" ht="70.5" customHeight="1" x14ac:dyDescent="0.3">
      <c r="B36" s="74" t="s">
        <v>295</v>
      </c>
      <c r="C36" s="75">
        <v>9.0899999999999995E-2</v>
      </c>
    </row>
    <row r="37" spans="1:5" ht="31.2" x14ac:dyDescent="0.3">
      <c r="B37" s="74" t="s">
        <v>296</v>
      </c>
      <c r="C37" s="75">
        <f>6/360</f>
        <v>1.6666666666666666E-2</v>
      </c>
    </row>
    <row r="38" spans="1:5" ht="100.5" customHeight="1" x14ac:dyDescent="0.3">
      <c r="B38" s="74" t="s">
        <v>334</v>
      </c>
      <c r="C38" s="75">
        <f>5/360*1.416%</f>
        <v>1.9666666666666663E-4</v>
      </c>
    </row>
    <row r="39" spans="1:5" ht="78" x14ac:dyDescent="0.3">
      <c r="B39" s="74" t="s">
        <v>324</v>
      </c>
      <c r="C39" s="75">
        <f>15/360*2.46%</f>
        <v>1.0249999999999999E-3</v>
      </c>
    </row>
    <row r="40" spans="1:5" ht="109.2" x14ac:dyDescent="0.3">
      <c r="B40" s="74" t="s">
        <v>333</v>
      </c>
      <c r="C40" s="75">
        <f>50%*1.416%*(4/12)*(8.33%+2.98%+9.09%)</f>
        <v>4.8143999999999997E-4</v>
      </c>
      <c r="E40" s="129"/>
    </row>
    <row r="41" spans="1:5" ht="15.6" x14ac:dyDescent="0.3">
      <c r="B41" s="78" t="s">
        <v>299</v>
      </c>
      <c r="C41" s="75">
        <f>(C36+C37+C38+C39+C40)*C25</f>
        <v>4.0211276586666664E-2</v>
      </c>
      <c r="E41" s="130"/>
    </row>
    <row r="42" spans="1:5" ht="15.6" x14ac:dyDescent="0.3">
      <c r="B42" s="76" t="s">
        <v>87</v>
      </c>
      <c r="C42" s="4">
        <f>SUM(C36:C41)</f>
        <v>0.14948104992</v>
      </c>
      <c r="E42" s="130"/>
    </row>
    <row r="43" spans="1:5" ht="45" customHeight="1" x14ac:dyDescent="0.3">
      <c r="B43" s="80" t="s">
        <v>134</v>
      </c>
      <c r="C43" s="75">
        <v>0</v>
      </c>
      <c r="E43" s="130"/>
    </row>
    <row r="44" spans="1:5" ht="30" customHeight="1" x14ac:dyDescent="0.3">
      <c r="B44" s="81" t="s">
        <v>93</v>
      </c>
      <c r="C44" s="82">
        <f>ROUND(SUM(C15,C25,C33,C42,C43),2)</f>
        <v>0.75</v>
      </c>
      <c r="E44" s="130"/>
    </row>
    <row r="45" spans="1:5" x14ac:dyDescent="0.3">
      <c r="E45" s="130"/>
    </row>
    <row r="46" spans="1:5" ht="46.8" x14ac:dyDescent="0.3">
      <c r="A46" s="9" t="s">
        <v>60</v>
      </c>
      <c r="B46" s="10" t="s">
        <v>61</v>
      </c>
      <c r="C46" s="9" t="s">
        <v>108</v>
      </c>
      <c r="E46" s="130"/>
    </row>
    <row r="47" spans="1:5" ht="15.6" x14ac:dyDescent="0.3">
      <c r="A47" s="9" t="s">
        <v>6</v>
      </c>
      <c r="B47" s="11" t="s">
        <v>300</v>
      </c>
      <c r="C47" s="12">
        <v>10</v>
      </c>
    </row>
    <row r="48" spans="1:5" ht="15.6" x14ac:dyDescent="0.3">
      <c r="A48" s="9" t="s">
        <v>6</v>
      </c>
      <c r="B48" s="11" t="s">
        <v>301</v>
      </c>
      <c r="C48" s="12">
        <v>10</v>
      </c>
    </row>
    <row r="49" spans="1:3" ht="15.6" x14ac:dyDescent="0.3">
      <c r="A49" s="9" t="s">
        <v>6</v>
      </c>
      <c r="B49" s="11" t="s">
        <v>302</v>
      </c>
      <c r="C49" s="12">
        <v>10</v>
      </c>
    </row>
    <row r="50" spans="1:3" ht="15.6" x14ac:dyDescent="0.3">
      <c r="A50" s="9" t="s">
        <v>7</v>
      </c>
      <c r="B50" s="11" t="s">
        <v>303</v>
      </c>
      <c r="C50" s="12">
        <v>33</v>
      </c>
    </row>
    <row r="51" spans="1:3" ht="15.6" x14ac:dyDescent="0.3">
      <c r="A51" s="9" t="s">
        <v>7</v>
      </c>
      <c r="B51" s="11" t="s">
        <v>304</v>
      </c>
      <c r="C51" s="12">
        <v>33</v>
      </c>
    </row>
    <row r="52" spans="1:3" ht="15.6" x14ac:dyDescent="0.3">
      <c r="A52" s="9" t="s">
        <v>7</v>
      </c>
      <c r="B52" s="11" t="s">
        <v>305</v>
      </c>
      <c r="C52" s="12">
        <v>33</v>
      </c>
    </row>
    <row r="53" spans="1:3" ht="15" x14ac:dyDescent="0.3">
      <c r="A53" s="13" t="s">
        <v>9</v>
      </c>
      <c r="B53" s="11" t="s">
        <v>117</v>
      </c>
      <c r="C53" s="12">
        <v>0</v>
      </c>
    </row>
    <row r="54" spans="1:3" ht="15" x14ac:dyDescent="0.3">
      <c r="A54" s="13" t="s">
        <v>10</v>
      </c>
      <c r="B54" s="11" t="s">
        <v>143</v>
      </c>
      <c r="C54" s="12">
        <v>10.3</v>
      </c>
    </row>
    <row r="55" spans="1:3" ht="15" x14ac:dyDescent="0.3">
      <c r="A55" s="13" t="s">
        <v>11</v>
      </c>
      <c r="B55" s="11" t="s">
        <v>115</v>
      </c>
      <c r="C55" s="12">
        <v>0</v>
      </c>
    </row>
    <row r="56" spans="1:3" ht="15" x14ac:dyDescent="0.3">
      <c r="A56" s="13" t="s">
        <v>13</v>
      </c>
      <c r="B56" s="11" t="s">
        <v>118</v>
      </c>
      <c r="C56" s="14">
        <v>2</v>
      </c>
    </row>
    <row r="57" spans="1:3" ht="15" x14ac:dyDescent="0.3">
      <c r="A57" s="13" t="s">
        <v>14</v>
      </c>
      <c r="B57" s="11" t="s">
        <v>16</v>
      </c>
      <c r="C57" s="12">
        <v>0</v>
      </c>
    </row>
  </sheetData>
  <mergeCells count="13">
    <mergeCell ref="G17:G18"/>
    <mergeCell ref="G24:G25"/>
    <mergeCell ref="E16:G16"/>
    <mergeCell ref="E23:G23"/>
    <mergeCell ref="E17:E18"/>
    <mergeCell ref="F17:F18"/>
    <mergeCell ref="F24:F25"/>
    <mergeCell ref="B1:C1"/>
    <mergeCell ref="B2:C2"/>
    <mergeCell ref="B9:C9"/>
    <mergeCell ref="B10:C10"/>
    <mergeCell ref="E24:E25"/>
    <mergeCell ref="B4:B6"/>
  </mergeCells>
  <printOptions horizontalCentered="1" verticalCentered="1"/>
  <pageMargins left="3.937007874015748E-2" right="3.937007874015748E-2" top="0.19685039370078741" bottom="0.15748031496062992" header="0.31496062992125984" footer="0.31496062992125984"/>
  <pageSetup paperSize="9" scale="40" orientation="landscape" r:id="rId1"/>
  <rowBreaks count="1" manualBreakCount="1">
    <brk id="33" max="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10">
    <pageSetUpPr fitToPage="1"/>
  </sheetPr>
  <dimension ref="B1:I124"/>
  <sheetViews>
    <sheetView showGridLines="0" topLeftCell="A57" zoomScaleNormal="100" zoomScaleSheetLayoutView="110" zoomScalePageLayoutView="70" workbookViewId="0">
      <selection activeCell="E53" sqref="E53"/>
    </sheetView>
  </sheetViews>
  <sheetFormatPr defaultColWidth="9.109375" defaultRowHeight="16.2" x14ac:dyDescent="0.4"/>
  <cols>
    <col min="1" max="1" width="1.6640625" style="16" customWidth="1"/>
    <col min="2" max="2" width="5.88671875" style="16" customWidth="1"/>
    <col min="3" max="3" width="65.109375" style="16" customWidth="1"/>
    <col min="4" max="4" width="14" style="16" customWidth="1"/>
    <col min="5" max="5" width="15.33203125" style="16" bestFit="1" customWidth="1"/>
    <col min="6" max="6" width="1.5546875" style="16" customWidth="1"/>
    <col min="7" max="7" width="3.5546875" style="16" customWidth="1"/>
    <col min="8" max="16384" width="9.109375" style="16"/>
  </cols>
  <sheetData>
    <row r="1" spans="2:5" ht="16.8" x14ac:dyDescent="0.4">
      <c r="B1" s="208" t="s">
        <v>137</v>
      </c>
      <c r="C1" s="209"/>
      <c r="D1" s="209"/>
      <c r="E1" s="210"/>
    </row>
    <row r="2" spans="2:5" ht="18" customHeight="1" x14ac:dyDescent="0.4">
      <c r="B2" s="231" t="s">
        <v>29</v>
      </c>
      <c r="C2" s="232"/>
      <c r="D2" s="232"/>
      <c r="E2" s="233"/>
    </row>
    <row r="3" spans="2:5" ht="15" customHeight="1" x14ac:dyDescent="0.4">
      <c r="B3" s="234"/>
      <c r="C3" s="235"/>
      <c r="D3" s="235"/>
      <c r="E3" s="236"/>
    </row>
    <row r="4" spans="2:5" x14ac:dyDescent="0.4">
      <c r="B4" s="213" t="s">
        <v>30</v>
      </c>
      <c r="C4" s="214"/>
      <c r="D4" s="214"/>
      <c r="E4" s="215"/>
    </row>
    <row r="5" spans="2:5" x14ac:dyDescent="0.4">
      <c r="B5" s="213" t="s">
        <v>85</v>
      </c>
      <c r="C5" s="214"/>
      <c r="D5" s="214"/>
      <c r="E5" s="215"/>
    </row>
    <row r="6" spans="2:5" x14ac:dyDescent="0.4">
      <c r="B6" s="18" t="s">
        <v>6</v>
      </c>
      <c r="C6" s="19" t="s">
        <v>31</v>
      </c>
      <c r="D6" s="247"/>
      <c r="E6" s="248"/>
    </row>
    <row r="7" spans="2:5" x14ac:dyDescent="0.4">
      <c r="B7" s="18" t="s">
        <v>7</v>
      </c>
      <c r="C7" s="19" t="s">
        <v>32</v>
      </c>
      <c r="D7" s="222" t="s">
        <v>34</v>
      </c>
      <c r="E7" s="223"/>
    </row>
    <row r="8" spans="2:5" x14ac:dyDescent="0.4">
      <c r="B8" s="18" t="s">
        <v>9</v>
      </c>
      <c r="C8" s="19" t="s">
        <v>33</v>
      </c>
      <c r="D8" s="222"/>
      <c r="E8" s="223"/>
    </row>
    <row r="9" spans="2:5" x14ac:dyDescent="0.4">
      <c r="B9" s="18" t="s">
        <v>10</v>
      </c>
      <c r="C9" s="19" t="s">
        <v>237</v>
      </c>
      <c r="D9" s="222" t="s">
        <v>43</v>
      </c>
      <c r="E9" s="223"/>
    </row>
    <row r="10" spans="2:5" x14ac:dyDescent="0.4">
      <c r="B10" s="213" t="s">
        <v>46</v>
      </c>
      <c r="C10" s="214"/>
      <c r="D10" s="214"/>
      <c r="E10" s="215"/>
    </row>
    <row r="11" spans="2:5" x14ac:dyDescent="0.4">
      <c r="B11" s="18"/>
      <c r="C11" s="19" t="s">
        <v>39</v>
      </c>
      <c r="D11" s="222" t="s">
        <v>306</v>
      </c>
      <c r="E11" s="223"/>
    </row>
    <row r="12" spans="2:5" x14ac:dyDescent="0.4">
      <c r="B12" s="18"/>
      <c r="C12" s="20" t="s">
        <v>40</v>
      </c>
      <c r="D12" s="222"/>
      <c r="E12" s="223"/>
    </row>
    <row r="13" spans="2:5" x14ac:dyDescent="0.4">
      <c r="B13" s="18"/>
      <c r="C13" s="228" t="s">
        <v>141</v>
      </c>
      <c r="D13" s="229"/>
      <c r="E13" s="230"/>
    </row>
    <row r="14" spans="2:5" x14ac:dyDescent="0.4">
      <c r="B14" s="237" t="s">
        <v>0</v>
      </c>
      <c r="C14" s="238"/>
      <c r="D14" s="238"/>
      <c r="E14" s="239"/>
    </row>
    <row r="15" spans="2:5" x14ac:dyDescent="0.4">
      <c r="B15" s="13">
        <v>1</v>
      </c>
      <c r="C15" s="11" t="s">
        <v>1</v>
      </c>
      <c r="D15" s="224" t="str">
        <f>'Salário-Encargos-Benefícios'!C4</f>
        <v>Encarregado de limpeza</v>
      </c>
      <c r="E15" s="225"/>
    </row>
    <row r="16" spans="2:5" x14ac:dyDescent="0.4">
      <c r="B16" s="13">
        <v>2</v>
      </c>
      <c r="C16" s="21" t="s">
        <v>48</v>
      </c>
      <c r="D16" s="242" t="s">
        <v>144</v>
      </c>
      <c r="E16" s="243"/>
    </row>
    <row r="17" spans="2:5" x14ac:dyDescent="0.4">
      <c r="B17" s="13">
        <v>3</v>
      </c>
      <c r="C17" s="11" t="s">
        <v>2</v>
      </c>
      <c r="D17" s="226">
        <f>'Salário-Encargos-Benefícios'!D4</f>
        <v>2397.73</v>
      </c>
      <c r="E17" s="227"/>
    </row>
    <row r="18" spans="2:5" x14ac:dyDescent="0.4">
      <c r="B18" s="13">
        <v>4</v>
      </c>
      <c r="C18" s="11" t="s">
        <v>49</v>
      </c>
      <c r="D18" s="224"/>
      <c r="E18" s="225"/>
    </row>
    <row r="19" spans="2:5" x14ac:dyDescent="0.4">
      <c r="B19" s="13">
        <v>5</v>
      </c>
      <c r="C19" s="11" t="s">
        <v>3</v>
      </c>
      <c r="D19" s="224"/>
      <c r="E19" s="225"/>
    </row>
    <row r="20" spans="2:5" x14ac:dyDescent="0.4">
      <c r="B20" s="216" t="s">
        <v>101</v>
      </c>
      <c r="C20" s="217"/>
      <c r="D20" s="217"/>
      <c r="E20" s="218"/>
    </row>
    <row r="21" spans="2:5" ht="12" customHeight="1" x14ac:dyDescent="0.4">
      <c r="B21" s="9">
        <v>1</v>
      </c>
      <c r="C21" s="10" t="s">
        <v>4</v>
      </c>
      <c r="D21" s="22" t="s">
        <v>20</v>
      </c>
      <c r="E21" s="9" t="s">
        <v>5</v>
      </c>
    </row>
    <row r="22" spans="2:5" x14ac:dyDescent="0.4">
      <c r="B22" s="13" t="s">
        <v>6</v>
      </c>
      <c r="C22" s="23" t="s">
        <v>45</v>
      </c>
      <c r="D22" s="24">
        <v>1</v>
      </c>
      <c r="E22" s="25">
        <f>D17</f>
        <v>2397.73</v>
      </c>
    </row>
    <row r="23" spans="2:5" x14ac:dyDescent="0.4">
      <c r="B23" s="13" t="s">
        <v>7</v>
      </c>
      <c r="C23" s="23" t="s">
        <v>8</v>
      </c>
      <c r="D23" s="24"/>
      <c r="E23" s="25"/>
    </row>
    <row r="24" spans="2:5" x14ac:dyDescent="0.4">
      <c r="B24" s="13" t="s">
        <v>9</v>
      </c>
      <c r="C24" s="23" t="s">
        <v>50</v>
      </c>
      <c r="D24" s="24"/>
      <c r="E24" s="25"/>
    </row>
    <row r="25" spans="2:5" x14ac:dyDescent="0.4">
      <c r="B25" s="13" t="s">
        <v>10</v>
      </c>
      <c r="C25" s="23" t="s">
        <v>12</v>
      </c>
      <c r="D25" s="24"/>
      <c r="E25" s="25"/>
    </row>
    <row r="26" spans="2:5" x14ac:dyDescent="0.4">
      <c r="B26" s="13" t="s">
        <v>11</v>
      </c>
      <c r="C26" s="23" t="s">
        <v>114</v>
      </c>
      <c r="D26" s="24"/>
      <c r="E26" s="26"/>
    </row>
    <row r="27" spans="2:5" x14ac:dyDescent="0.4">
      <c r="B27" s="13" t="s">
        <v>13</v>
      </c>
      <c r="C27" s="23" t="s">
        <v>16</v>
      </c>
      <c r="D27" s="24"/>
      <c r="E27" s="25"/>
    </row>
    <row r="28" spans="2:5" ht="16.8" x14ac:dyDescent="0.4">
      <c r="B28" s="27"/>
      <c r="C28" s="28" t="s">
        <v>28</v>
      </c>
      <c r="D28" s="29">
        <f>SUM(D22:D27)</f>
        <v>1</v>
      </c>
      <c r="E28" s="30">
        <f>ROUND(SUM(E22:E27),2)</f>
        <v>2397.73</v>
      </c>
    </row>
    <row r="29" spans="2:5" x14ac:dyDescent="0.4">
      <c r="B29" s="219" t="s">
        <v>51</v>
      </c>
      <c r="C29" s="220"/>
      <c r="D29" s="220"/>
      <c r="E29" s="221"/>
    </row>
    <row r="30" spans="2:5" ht="33" customHeight="1" x14ac:dyDescent="0.4">
      <c r="B30" s="9" t="s">
        <v>52</v>
      </c>
      <c r="C30" s="32" t="s">
        <v>126</v>
      </c>
      <c r="D30" s="33"/>
      <c r="E30" s="9" t="s">
        <v>5</v>
      </c>
    </row>
    <row r="31" spans="2:5" x14ac:dyDescent="0.4">
      <c r="B31" s="13" t="s">
        <v>6</v>
      </c>
      <c r="C31" s="21" t="s">
        <v>53</v>
      </c>
      <c r="D31" s="34">
        <f>'Salário-Encargos-Benefícios'!C12</f>
        <v>8.3299999999999999E-2</v>
      </c>
      <c r="E31" s="35">
        <f>ROUND(($E$28*'Salário-Encargos-Benefícios'!C12),2)</f>
        <v>199.73</v>
      </c>
    </row>
    <row r="32" spans="2:5" x14ac:dyDescent="0.4">
      <c r="B32" s="13" t="s">
        <v>7</v>
      </c>
      <c r="C32" s="21" t="s">
        <v>124</v>
      </c>
      <c r="D32" s="34">
        <f>'Salário-Encargos-Benefícios'!C13</f>
        <v>2.9766666666666663E-2</v>
      </c>
      <c r="E32" s="35">
        <f>ROUND(($E$28*'Salário-Encargos-Benefícios'!C13),2)</f>
        <v>71.37</v>
      </c>
    </row>
    <row r="33" spans="2:5" x14ac:dyDescent="0.4">
      <c r="B33" s="13" t="s">
        <v>9</v>
      </c>
      <c r="C33" s="21" t="s">
        <v>119</v>
      </c>
      <c r="D33" s="34">
        <f>(D31+D32)*D45</f>
        <v>4.1608533333333336E-2</v>
      </c>
      <c r="E33" s="35">
        <f>ROUND(((E31+E32)*D45),2)</f>
        <v>99.76</v>
      </c>
    </row>
    <row r="34" spans="2:5" ht="16.8" x14ac:dyDescent="0.4">
      <c r="B34" s="27"/>
      <c r="C34" s="32" t="s">
        <v>28</v>
      </c>
      <c r="D34" s="36">
        <f>SUM(D31:D33)</f>
        <v>0.15467520000000001</v>
      </c>
      <c r="E34" s="37">
        <f>ROUND(SUM(E31:E33),2)</f>
        <v>370.86</v>
      </c>
    </row>
    <row r="35" spans="2:5" x14ac:dyDescent="0.4">
      <c r="B35" s="13"/>
      <c r="C35" s="21"/>
      <c r="D35" s="38"/>
      <c r="E35" s="39"/>
    </row>
    <row r="36" spans="2:5" ht="31.2" x14ac:dyDescent="0.4">
      <c r="B36" s="9" t="s">
        <v>54</v>
      </c>
      <c r="C36" s="40" t="s">
        <v>55</v>
      </c>
      <c r="D36" s="22" t="s">
        <v>20</v>
      </c>
      <c r="E36" s="9" t="s">
        <v>5</v>
      </c>
    </row>
    <row r="37" spans="2:5" x14ac:dyDescent="0.4">
      <c r="B37" s="13" t="s">
        <v>6</v>
      </c>
      <c r="C37" s="23" t="s">
        <v>36</v>
      </c>
      <c r="D37" s="24">
        <f>'Salário-Encargos-Benefícios'!C17</f>
        <v>0.2</v>
      </c>
      <c r="E37" s="41">
        <f>ROUND(($E$28*'Salário-Encargos-Benefícios'!C17),2)</f>
        <v>479.55</v>
      </c>
    </row>
    <row r="38" spans="2:5" x14ac:dyDescent="0.4">
      <c r="B38" s="13" t="s">
        <v>7</v>
      </c>
      <c r="C38" s="23" t="s">
        <v>88</v>
      </c>
      <c r="D38" s="24">
        <f>'Salário-Encargos-Benefícios'!C18</f>
        <v>2.5000000000000001E-2</v>
      </c>
      <c r="E38" s="41">
        <f>ROUND(($E$28*'Salário-Encargos-Benefícios'!C18),2)</f>
        <v>59.94</v>
      </c>
    </row>
    <row r="39" spans="2:5" x14ac:dyDescent="0.4">
      <c r="B39" s="13" t="s">
        <v>9</v>
      </c>
      <c r="C39" s="23" t="s">
        <v>56</v>
      </c>
      <c r="D39" s="24">
        <f>'Salário-Encargos-Benefícios'!C19</f>
        <v>0.03</v>
      </c>
      <c r="E39" s="41">
        <f>ROUND(($E$28*'Salário-Encargos-Benefícios'!C19),2)</f>
        <v>71.930000000000007</v>
      </c>
    </row>
    <row r="40" spans="2:5" x14ac:dyDescent="0.4">
      <c r="B40" s="13" t="s">
        <v>10</v>
      </c>
      <c r="C40" s="23" t="s">
        <v>57</v>
      </c>
      <c r="D40" s="24">
        <f>'Salário-Encargos-Benefícios'!C20</f>
        <v>1.4999999999999999E-2</v>
      </c>
      <c r="E40" s="41">
        <f>ROUND(($E$28*'Salário-Encargos-Benefícios'!C20),2)</f>
        <v>35.97</v>
      </c>
    </row>
    <row r="41" spans="2:5" x14ac:dyDescent="0.4">
      <c r="B41" s="13" t="s">
        <v>11</v>
      </c>
      <c r="C41" s="23" t="s">
        <v>58</v>
      </c>
      <c r="D41" s="24">
        <f>'Salário-Encargos-Benefícios'!C21</f>
        <v>0.01</v>
      </c>
      <c r="E41" s="41">
        <f>ROUND(($E$28*'Salário-Encargos-Benefícios'!C21),2)</f>
        <v>23.98</v>
      </c>
    </row>
    <row r="42" spans="2:5" x14ac:dyDescent="0.4">
      <c r="B42" s="13" t="s">
        <v>13</v>
      </c>
      <c r="C42" s="23" t="s">
        <v>38</v>
      </c>
      <c r="D42" s="24">
        <f>'Salário-Encargos-Benefícios'!C22</f>
        <v>6.0000000000000001E-3</v>
      </c>
      <c r="E42" s="41">
        <f>ROUND(($E$28*'Salário-Encargos-Benefícios'!C22),2)</f>
        <v>14.39</v>
      </c>
    </row>
    <row r="43" spans="2:5" x14ac:dyDescent="0.4">
      <c r="B43" s="13" t="s">
        <v>14</v>
      </c>
      <c r="C43" s="23" t="s">
        <v>37</v>
      </c>
      <c r="D43" s="24">
        <f>'Salário-Encargos-Benefícios'!C23</f>
        <v>2E-3</v>
      </c>
      <c r="E43" s="41">
        <f>ROUND(($E$28*'Salário-Encargos-Benefícios'!C23),2)</f>
        <v>4.8</v>
      </c>
    </row>
    <row r="44" spans="2:5" x14ac:dyDescent="0.4">
      <c r="B44" s="13" t="s">
        <v>15</v>
      </c>
      <c r="C44" s="23" t="s">
        <v>59</v>
      </c>
      <c r="D44" s="24">
        <f>'Salário-Encargos-Benefícios'!C24</f>
        <v>0.08</v>
      </c>
      <c r="E44" s="41">
        <f>ROUND(($E$28*'Salário-Encargos-Benefícios'!C24),2)</f>
        <v>191.82</v>
      </c>
    </row>
    <row r="45" spans="2:5" x14ac:dyDescent="0.4">
      <c r="B45" s="211" t="s">
        <v>44</v>
      </c>
      <c r="C45" s="212"/>
      <c r="D45" s="42">
        <f>SUM(D37:D44)</f>
        <v>0.36800000000000005</v>
      </c>
      <c r="E45" s="43">
        <f>ROUND(SUM(E37:E44),2)</f>
        <v>882.38</v>
      </c>
    </row>
    <row r="46" spans="2:5" ht="11.1" customHeight="1" x14ac:dyDescent="0.4">
      <c r="B46" s="13"/>
      <c r="C46" s="23"/>
      <c r="D46" s="44"/>
      <c r="E46" s="39"/>
    </row>
    <row r="47" spans="2:5" x14ac:dyDescent="0.4">
      <c r="B47" s="9" t="s">
        <v>60</v>
      </c>
      <c r="C47" s="234" t="s">
        <v>61</v>
      </c>
      <c r="D47" s="236"/>
      <c r="E47" s="9" t="s">
        <v>5</v>
      </c>
    </row>
    <row r="48" spans="2:5" x14ac:dyDescent="0.4">
      <c r="B48" s="13" t="s">
        <v>6</v>
      </c>
      <c r="C48" s="240" t="s">
        <v>307</v>
      </c>
      <c r="D48" s="241"/>
      <c r="E48" s="25">
        <f>21*'Salário-Encargos-Benefícios'!C47</f>
        <v>210</v>
      </c>
    </row>
    <row r="49" spans="2:5" x14ac:dyDescent="0.4">
      <c r="B49" s="13" t="s">
        <v>146</v>
      </c>
      <c r="C49" s="69" t="s">
        <v>147</v>
      </c>
      <c r="D49" s="70"/>
      <c r="E49" s="86">
        <f>-(D17*6%)</f>
        <v>-143.8638</v>
      </c>
    </row>
    <row r="50" spans="2:5" ht="18.75" customHeight="1" x14ac:dyDescent="0.4">
      <c r="B50" s="13" t="s">
        <v>7</v>
      </c>
      <c r="C50" s="240" t="s">
        <v>131</v>
      </c>
      <c r="D50" s="241"/>
      <c r="E50" s="25">
        <f>ROUND(('Salário-Encargos-Benefícios'!C50*21),2)</f>
        <v>693</v>
      </c>
    </row>
    <row r="51" spans="2:5" x14ac:dyDescent="0.4">
      <c r="B51" s="13" t="s">
        <v>9</v>
      </c>
      <c r="C51" s="240" t="s">
        <v>117</v>
      </c>
      <c r="D51" s="241"/>
      <c r="E51" s="25">
        <f>'Salário-Encargos-Benefícios'!C53</f>
        <v>0</v>
      </c>
    </row>
    <row r="52" spans="2:5" ht="16.5" customHeight="1" x14ac:dyDescent="0.4">
      <c r="B52" s="13" t="s">
        <v>10</v>
      </c>
      <c r="C52" s="240" t="s">
        <v>115</v>
      </c>
      <c r="D52" s="241"/>
      <c r="E52" s="25">
        <f>'Salário-Encargos-Benefícios'!C55</f>
        <v>0</v>
      </c>
    </row>
    <row r="53" spans="2:5" x14ac:dyDescent="0.4">
      <c r="B53" s="13" t="s">
        <v>11</v>
      </c>
      <c r="C53" s="240" t="s">
        <v>118</v>
      </c>
      <c r="D53" s="241"/>
      <c r="E53" s="25">
        <f>'Salário-Encargos-Benefícios'!C56</f>
        <v>2</v>
      </c>
    </row>
    <row r="54" spans="2:5" x14ac:dyDescent="0.4">
      <c r="B54" s="13" t="s">
        <v>14</v>
      </c>
      <c r="C54" s="240" t="s">
        <v>16</v>
      </c>
      <c r="D54" s="241"/>
      <c r="E54" s="25">
        <f>'Salário-Encargos-Benefícios'!C57</f>
        <v>0</v>
      </c>
    </row>
    <row r="55" spans="2:5" ht="16.8" x14ac:dyDescent="0.4">
      <c r="B55" s="27"/>
      <c r="C55" s="32" t="s">
        <v>35</v>
      </c>
      <c r="D55" s="33"/>
      <c r="E55" s="37">
        <f>ROUND(SUM(E48:E54),2)</f>
        <v>761.14</v>
      </c>
    </row>
    <row r="56" spans="2:5" ht="32.25" customHeight="1" x14ac:dyDescent="0.4">
      <c r="B56" s="237"/>
      <c r="C56" s="238"/>
      <c r="D56" s="238"/>
      <c r="E56" s="239"/>
    </row>
    <row r="57" spans="2:5" x14ac:dyDescent="0.4">
      <c r="B57" s="9">
        <v>2</v>
      </c>
      <c r="C57" s="234" t="s">
        <v>62</v>
      </c>
      <c r="D57" s="236"/>
      <c r="E57" s="9" t="s">
        <v>5</v>
      </c>
    </row>
    <row r="58" spans="2:5" x14ac:dyDescent="0.4">
      <c r="B58" s="13" t="s">
        <v>52</v>
      </c>
      <c r="C58" s="21" t="s">
        <v>126</v>
      </c>
      <c r="D58" s="38"/>
      <c r="E58" s="39">
        <f>E34</f>
        <v>370.86</v>
      </c>
    </row>
    <row r="59" spans="2:5" x14ac:dyDescent="0.4">
      <c r="B59" s="13" t="s">
        <v>54</v>
      </c>
      <c r="C59" s="21" t="s">
        <v>63</v>
      </c>
      <c r="D59" s="38"/>
      <c r="E59" s="39">
        <f>E45</f>
        <v>882.38</v>
      </c>
    </row>
    <row r="60" spans="2:5" x14ac:dyDescent="0.4">
      <c r="B60" s="13" t="s">
        <v>60</v>
      </c>
      <c r="C60" s="21" t="s">
        <v>61</v>
      </c>
      <c r="D60" s="38"/>
      <c r="E60" s="39">
        <f>E55</f>
        <v>761.14</v>
      </c>
    </row>
    <row r="61" spans="2:5" ht="16.8" x14ac:dyDescent="0.4">
      <c r="B61" s="27"/>
      <c r="C61" s="32" t="s">
        <v>35</v>
      </c>
      <c r="D61" s="33"/>
      <c r="E61" s="37">
        <f>SUM(E58:E60)</f>
        <v>2014.38</v>
      </c>
    </row>
    <row r="62" spans="2:5" ht="16.8" x14ac:dyDescent="0.4">
      <c r="B62" s="244"/>
      <c r="C62" s="245"/>
      <c r="D62" s="245"/>
      <c r="E62" s="246"/>
    </row>
    <row r="63" spans="2:5" x14ac:dyDescent="0.4">
      <c r="B63" s="219" t="s">
        <v>68</v>
      </c>
      <c r="C63" s="220"/>
      <c r="D63" s="220"/>
      <c r="E63" s="221"/>
    </row>
    <row r="64" spans="2:5" x14ac:dyDescent="0.4">
      <c r="B64" s="9">
        <v>3</v>
      </c>
      <c r="C64" s="234" t="s">
        <v>41</v>
      </c>
      <c r="D64" s="236"/>
      <c r="E64" s="9" t="s">
        <v>5</v>
      </c>
    </row>
    <row r="65" spans="2:5" x14ac:dyDescent="0.4">
      <c r="B65" s="13" t="s">
        <v>6</v>
      </c>
      <c r="C65" s="240" t="s">
        <v>22</v>
      </c>
      <c r="D65" s="241"/>
      <c r="E65" s="41">
        <f>ROUND(($E$28*'Salário-Encargos-Benefícios'!C27),2)</f>
        <v>9.99</v>
      </c>
    </row>
    <row r="66" spans="2:5" x14ac:dyDescent="0.4">
      <c r="B66" s="13" t="s">
        <v>7</v>
      </c>
      <c r="C66" s="240" t="s">
        <v>64</v>
      </c>
      <c r="D66" s="241"/>
      <c r="E66" s="41">
        <f>ROUND(($E$28*'Salário-Encargos-Benefícios'!C28),2)</f>
        <v>0.8</v>
      </c>
    </row>
    <row r="67" spans="2:5" x14ac:dyDescent="0.4">
      <c r="B67" s="13" t="s">
        <v>9</v>
      </c>
      <c r="C67" s="240" t="s">
        <v>65</v>
      </c>
      <c r="D67" s="241"/>
      <c r="E67" s="41">
        <f>ROUND(($E$28*'Salário-Encargos-Benefícios'!C29),2)</f>
        <v>0</v>
      </c>
    </row>
    <row r="68" spans="2:5" x14ac:dyDescent="0.4">
      <c r="B68" s="13" t="s">
        <v>10</v>
      </c>
      <c r="C68" s="240" t="s">
        <v>23</v>
      </c>
      <c r="D68" s="241"/>
      <c r="E68" s="41">
        <f>ROUND(($E$28*'Salário-Encargos-Benefícios'!C30),2)</f>
        <v>46.62</v>
      </c>
    </row>
    <row r="69" spans="2:5" x14ac:dyDescent="0.4">
      <c r="B69" s="13" t="s">
        <v>11</v>
      </c>
      <c r="C69" s="240" t="s">
        <v>66</v>
      </c>
      <c r="D69" s="241"/>
      <c r="E69" s="45">
        <f>ROUND(($E$28*'Salário-Encargos-Benefícios'!C31),2)</f>
        <v>17.16</v>
      </c>
    </row>
    <row r="70" spans="2:5" x14ac:dyDescent="0.4">
      <c r="B70" s="13" t="s">
        <v>13</v>
      </c>
      <c r="C70" s="240" t="s">
        <v>67</v>
      </c>
      <c r="D70" s="241"/>
      <c r="E70" s="45">
        <f>ROUND(($E$28*'Salário-Encargos-Benefícios'!C32),2)</f>
        <v>119.89</v>
      </c>
    </row>
    <row r="71" spans="2:5" x14ac:dyDescent="0.4">
      <c r="B71" s="234" t="s">
        <v>44</v>
      </c>
      <c r="C71" s="235"/>
      <c r="D71" s="236"/>
      <c r="E71" s="43">
        <f>ROUND(SUM(E65:E70),2)</f>
        <v>194.46</v>
      </c>
    </row>
    <row r="72" spans="2:5" x14ac:dyDescent="0.4">
      <c r="B72" s="237"/>
      <c r="C72" s="238"/>
      <c r="D72" s="238"/>
      <c r="E72" s="239"/>
    </row>
    <row r="73" spans="2:5" x14ac:dyDescent="0.4">
      <c r="B73" s="219" t="s">
        <v>69</v>
      </c>
      <c r="C73" s="220"/>
      <c r="D73" s="220"/>
      <c r="E73" s="221"/>
    </row>
    <row r="74" spans="2:5" x14ac:dyDescent="0.4">
      <c r="B74" s="9" t="s">
        <v>19</v>
      </c>
      <c r="C74" s="234" t="s">
        <v>70</v>
      </c>
      <c r="D74" s="236"/>
      <c r="E74" s="9" t="s">
        <v>5</v>
      </c>
    </row>
    <row r="75" spans="2:5" x14ac:dyDescent="0.4">
      <c r="B75" s="13" t="s">
        <v>6</v>
      </c>
      <c r="C75" s="21" t="s">
        <v>125</v>
      </c>
      <c r="D75" s="38"/>
      <c r="E75" s="46">
        <f>ROUND(($E$28*'Salário-Encargos-Benefícios'!C36),2)</f>
        <v>217.95</v>
      </c>
    </row>
    <row r="76" spans="2:5" x14ac:dyDescent="0.4">
      <c r="B76" s="13" t="s">
        <v>7</v>
      </c>
      <c r="C76" s="21" t="s">
        <v>70</v>
      </c>
      <c r="D76" s="38"/>
      <c r="E76" s="46">
        <f>ROUND(($E$28*'Salário-Encargos-Benefícios'!C37),2)</f>
        <v>39.96</v>
      </c>
    </row>
    <row r="77" spans="2:5" x14ac:dyDescent="0.4">
      <c r="B77" s="13" t="s">
        <v>9</v>
      </c>
      <c r="C77" s="240" t="s">
        <v>71</v>
      </c>
      <c r="D77" s="241"/>
      <c r="E77" s="46">
        <f>ROUND(($E$28*'Salário-Encargos-Benefícios'!C38),2)</f>
        <v>0.47</v>
      </c>
    </row>
    <row r="78" spans="2:5" x14ac:dyDescent="0.4">
      <c r="B78" s="13" t="s">
        <v>10</v>
      </c>
      <c r="C78" s="240" t="s">
        <v>72</v>
      </c>
      <c r="D78" s="241"/>
      <c r="E78" s="46">
        <f>ROUND(($E$28*'Salário-Encargos-Benefícios'!C39),2)</f>
        <v>2.46</v>
      </c>
    </row>
    <row r="79" spans="2:5" ht="30" customHeight="1" x14ac:dyDescent="0.4">
      <c r="B79" s="13" t="s">
        <v>11</v>
      </c>
      <c r="C79" s="240" t="s">
        <v>42</v>
      </c>
      <c r="D79" s="241"/>
      <c r="E79" s="46">
        <f>ROUND(($E$28*'Salário-Encargos-Benefícios'!C40),2)</f>
        <v>1.1499999999999999</v>
      </c>
    </row>
    <row r="80" spans="2:5" ht="29.25" customHeight="1" x14ac:dyDescent="0.4">
      <c r="B80" s="13" t="s">
        <v>13</v>
      </c>
      <c r="C80" s="240" t="s">
        <v>120</v>
      </c>
      <c r="D80" s="241"/>
      <c r="E80" s="47">
        <f>ROUND((SUM(E75:E79)*D45),2)</f>
        <v>96.41</v>
      </c>
    </row>
    <row r="81" spans="2:5" x14ac:dyDescent="0.4">
      <c r="B81" s="234" t="s">
        <v>44</v>
      </c>
      <c r="C81" s="235"/>
      <c r="D81" s="236"/>
      <c r="E81" s="43">
        <f>ROUND(SUM(E75:E80),2)</f>
        <v>358.4</v>
      </c>
    </row>
    <row r="82" spans="2:5" x14ac:dyDescent="0.4">
      <c r="B82" s="237"/>
      <c r="C82" s="238"/>
      <c r="D82" s="238"/>
      <c r="E82" s="239"/>
    </row>
    <row r="83" spans="2:5" x14ac:dyDescent="0.4">
      <c r="B83" s="9" t="s">
        <v>21</v>
      </c>
      <c r="C83" s="234" t="s">
        <v>73</v>
      </c>
      <c r="D83" s="236"/>
      <c r="E83" s="9" t="s">
        <v>5</v>
      </c>
    </row>
    <row r="84" spans="2:5" x14ac:dyDescent="0.4">
      <c r="B84" s="13" t="s">
        <v>6</v>
      </c>
      <c r="C84" s="21" t="s">
        <v>74</v>
      </c>
      <c r="D84" s="38"/>
      <c r="E84" s="39">
        <v>0</v>
      </c>
    </row>
    <row r="85" spans="2:5" ht="29.25" customHeight="1" x14ac:dyDescent="0.4">
      <c r="B85" s="237"/>
      <c r="C85" s="238"/>
      <c r="D85" s="238"/>
      <c r="E85" s="239"/>
    </row>
    <row r="86" spans="2:5" x14ac:dyDescent="0.4">
      <c r="B86" s="9">
        <v>4</v>
      </c>
      <c r="C86" s="234" t="s">
        <v>75</v>
      </c>
      <c r="D86" s="236"/>
      <c r="E86" s="9" t="s">
        <v>5</v>
      </c>
    </row>
    <row r="87" spans="2:5" x14ac:dyDescent="0.4">
      <c r="B87" s="13" t="s">
        <v>19</v>
      </c>
      <c r="C87" s="21" t="s">
        <v>76</v>
      </c>
      <c r="D87" s="38"/>
      <c r="E87" s="39">
        <f>E81</f>
        <v>358.4</v>
      </c>
    </row>
    <row r="88" spans="2:5" x14ac:dyDescent="0.4">
      <c r="B88" s="13" t="s">
        <v>21</v>
      </c>
      <c r="C88" s="21" t="s">
        <v>73</v>
      </c>
      <c r="D88" s="38"/>
      <c r="E88" s="39">
        <f>E84</f>
        <v>0</v>
      </c>
    </row>
    <row r="89" spans="2:5" x14ac:dyDescent="0.4">
      <c r="B89" s="32"/>
      <c r="C89" s="235" t="s">
        <v>77</v>
      </c>
      <c r="D89" s="236"/>
      <c r="E89" s="43">
        <f>ROUND(SUM(E87:E88),2)</f>
        <v>358.4</v>
      </c>
    </row>
    <row r="90" spans="2:5" x14ac:dyDescent="0.4">
      <c r="B90" s="219" t="s">
        <v>78</v>
      </c>
      <c r="C90" s="220"/>
      <c r="D90" s="220"/>
      <c r="E90" s="221"/>
    </row>
    <row r="91" spans="2:5" x14ac:dyDescent="0.4">
      <c r="B91" s="9">
        <v>5</v>
      </c>
      <c r="C91" s="234" t="s">
        <v>17</v>
      </c>
      <c r="D91" s="236"/>
      <c r="E91" s="9" t="s">
        <v>5</v>
      </c>
    </row>
    <row r="92" spans="2:5" x14ac:dyDescent="0.4">
      <c r="B92" s="13" t="s">
        <v>6</v>
      </c>
      <c r="C92" s="240" t="s">
        <v>18</v>
      </c>
      <c r="D92" s="241"/>
      <c r="E92" s="39">
        <f>Uniformes!F11</f>
        <v>34.47</v>
      </c>
    </row>
    <row r="93" spans="2:5" x14ac:dyDescent="0.4">
      <c r="B93" s="13" t="s">
        <v>7</v>
      </c>
      <c r="C93" s="152" t="s">
        <v>136</v>
      </c>
      <c r="D93" s="153"/>
      <c r="E93" s="39"/>
    </row>
    <row r="94" spans="2:5" x14ac:dyDescent="0.4">
      <c r="B94" s="13" t="s">
        <v>9</v>
      </c>
      <c r="C94" s="152" t="s">
        <v>135</v>
      </c>
      <c r="D94" s="153"/>
      <c r="E94" s="39"/>
    </row>
    <row r="95" spans="2:5" ht="16.5" customHeight="1" x14ac:dyDescent="0.4">
      <c r="B95" s="13"/>
      <c r="C95" s="240"/>
      <c r="D95" s="241"/>
      <c r="E95" s="39"/>
    </row>
    <row r="96" spans="2:5" x14ac:dyDescent="0.4">
      <c r="B96" s="234" t="s">
        <v>44</v>
      </c>
      <c r="C96" s="235"/>
      <c r="D96" s="236"/>
      <c r="E96" s="43">
        <f>ROUND(SUM(E92:E95),2)</f>
        <v>34.47</v>
      </c>
    </row>
    <row r="97" spans="2:9" ht="16.8" x14ac:dyDescent="0.4">
      <c r="B97" s="255"/>
      <c r="C97" s="256"/>
      <c r="D97" s="256"/>
      <c r="E97" s="257"/>
    </row>
    <row r="98" spans="2:9" x14ac:dyDescent="0.4">
      <c r="B98" s="216" t="s">
        <v>121</v>
      </c>
      <c r="C98" s="217"/>
      <c r="D98" s="217"/>
      <c r="E98" s="218"/>
    </row>
    <row r="99" spans="2:9" x14ac:dyDescent="0.4">
      <c r="B99" s="9">
        <v>6</v>
      </c>
      <c r="C99" s="40" t="s">
        <v>24</v>
      </c>
      <c r="D99" s="22" t="s">
        <v>20</v>
      </c>
      <c r="E99" s="9" t="s">
        <v>5</v>
      </c>
    </row>
    <row r="100" spans="2:9" x14ac:dyDescent="0.4">
      <c r="B100" s="13" t="s">
        <v>6</v>
      </c>
      <c r="C100" s="23" t="s">
        <v>25</v>
      </c>
      <c r="D100" s="48">
        <v>0.03</v>
      </c>
      <c r="E100" s="49">
        <f>ROUND((E118)*(D100),2)</f>
        <v>149.97999999999999</v>
      </c>
    </row>
    <row r="101" spans="2:9" x14ac:dyDescent="0.4">
      <c r="B101" s="13" t="s">
        <v>7</v>
      </c>
      <c r="C101" s="23" t="s">
        <v>27</v>
      </c>
      <c r="D101" s="48">
        <v>6.7900000000000002E-2</v>
      </c>
      <c r="E101" s="49">
        <f>ROUND((E100+E118)*(D101),2)</f>
        <v>349.65</v>
      </c>
    </row>
    <row r="102" spans="2:9" x14ac:dyDescent="0.4">
      <c r="B102" s="13" t="s">
        <v>9</v>
      </c>
      <c r="C102" s="23" t="s">
        <v>26</v>
      </c>
      <c r="D102" s="50"/>
      <c r="E102" s="49"/>
    </row>
    <row r="103" spans="2:9" x14ac:dyDescent="0.4">
      <c r="B103" s="11"/>
      <c r="C103" s="40" t="s">
        <v>82</v>
      </c>
      <c r="D103" s="50"/>
      <c r="E103" s="51"/>
    </row>
    <row r="104" spans="2:9" x14ac:dyDescent="0.4">
      <c r="B104" s="11"/>
      <c r="C104" s="23" t="s">
        <v>83</v>
      </c>
      <c r="D104" s="50">
        <v>1.6500000000000001E-2</v>
      </c>
      <c r="E104" s="49">
        <f>ROUND((E120*D104),2)</f>
        <v>105.81</v>
      </c>
    </row>
    <row r="105" spans="2:9" x14ac:dyDescent="0.4">
      <c r="B105" s="11"/>
      <c r="C105" s="23" t="s">
        <v>84</v>
      </c>
      <c r="D105" s="50">
        <v>7.5999999999999998E-2</v>
      </c>
      <c r="E105" s="49">
        <f>ROUND((E120*D105),2)</f>
        <v>487.38</v>
      </c>
    </row>
    <row r="106" spans="2:9" x14ac:dyDescent="0.4">
      <c r="B106" s="11"/>
      <c r="C106" s="40" t="s">
        <v>100</v>
      </c>
      <c r="D106" s="50"/>
      <c r="E106" s="49"/>
    </row>
    <row r="107" spans="2:9" x14ac:dyDescent="0.4">
      <c r="B107" s="11"/>
      <c r="C107" s="23" t="s">
        <v>98</v>
      </c>
      <c r="D107" s="50">
        <v>0.05</v>
      </c>
      <c r="E107" s="49">
        <f>ROUND((E120*D107),2)</f>
        <v>320.64999999999998</v>
      </c>
    </row>
    <row r="108" spans="2:9" x14ac:dyDescent="0.4">
      <c r="B108" s="11"/>
      <c r="C108" s="40" t="s">
        <v>99</v>
      </c>
      <c r="D108" s="50"/>
      <c r="E108" s="51"/>
    </row>
    <row r="109" spans="2:9" x14ac:dyDescent="0.4">
      <c r="B109" s="234" t="s">
        <v>44</v>
      </c>
      <c r="C109" s="236"/>
      <c r="D109" s="52">
        <f>SUM(D100:D108)</f>
        <v>0.2404</v>
      </c>
      <c r="E109" s="53">
        <f>ROUND(SUM(E100:E108),2)</f>
        <v>1413.47</v>
      </c>
    </row>
    <row r="110" spans="2:9" ht="16.8" x14ac:dyDescent="0.4">
      <c r="B110" s="255"/>
      <c r="C110" s="256"/>
      <c r="D110" s="256"/>
      <c r="E110" s="257"/>
    </row>
    <row r="111" spans="2:9" ht="36" customHeight="1" x14ac:dyDescent="0.4">
      <c r="B111" s="219" t="s">
        <v>79</v>
      </c>
      <c r="C111" s="220"/>
      <c r="D111" s="220"/>
      <c r="E111" s="221"/>
      <c r="F111" s="57"/>
      <c r="G111" s="57"/>
      <c r="I111" s="17"/>
    </row>
    <row r="112" spans="2:9" ht="31.2" x14ac:dyDescent="0.4">
      <c r="B112" s="54"/>
      <c r="C112" s="32" t="s">
        <v>122</v>
      </c>
      <c r="D112" s="55" t="s">
        <v>123</v>
      </c>
      <c r="E112" s="9" t="s">
        <v>5</v>
      </c>
    </row>
    <row r="113" spans="2:5" x14ac:dyDescent="0.4">
      <c r="B113" s="13" t="s">
        <v>6</v>
      </c>
      <c r="C113" s="23" t="s">
        <v>95</v>
      </c>
      <c r="D113" s="58">
        <f>(E113/$E$120)</f>
        <v>0.37389110403857223</v>
      </c>
      <c r="E113" s="39">
        <f>E28</f>
        <v>2397.73</v>
      </c>
    </row>
    <row r="114" spans="2:5" x14ac:dyDescent="0.4">
      <c r="B114" s="13" t="s">
        <v>7</v>
      </c>
      <c r="C114" s="23" t="s">
        <v>96</v>
      </c>
      <c r="D114" s="58">
        <f>(E114/$E$120)</f>
        <v>0.31411324967916282</v>
      </c>
      <c r="E114" s="39">
        <f>E61</f>
        <v>2014.38</v>
      </c>
    </row>
    <row r="115" spans="2:5" x14ac:dyDescent="0.4">
      <c r="B115" s="13" t="s">
        <v>9</v>
      </c>
      <c r="C115" s="23" t="s">
        <v>97</v>
      </c>
      <c r="D115" s="58">
        <f>(E115/$E$120)</f>
        <v>3.0323207405062603E-2</v>
      </c>
      <c r="E115" s="39">
        <f>E71</f>
        <v>194.46</v>
      </c>
    </row>
    <row r="116" spans="2:5" x14ac:dyDescent="0.4">
      <c r="B116" s="13" t="s">
        <v>10</v>
      </c>
      <c r="C116" s="60" t="s">
        <v>80</v>
      </c>
      <c r="D116" s="58">
        <f>(E116/$E$120)</f>
        <v>5.5887264907818757E-2</v>
      </c>
      <c r="E116" s="39">
        <f>E89</f>
        <v>358.4</v>
      </c>
    </row>
    <row r="117" spans="2:5" x14ac:dyDescent="0.4">
      <c r="B117" s="13" t="s">
        <v>11</v>
      </c>
      <c r="C117" s="23" t="s">
        <v>94</v>
      </c>
      <c r="D117" s="58">
        <f>(E117/$E$120)</f>
        <v>5.3750949257045551E-3</v>
      </c>
      <c r="E117" s="39">
        <f>E96</f>
        <v>34.47</v>
      </c>
    </row>
    <row r="118" spans="2:5" x14ac:dyDescent="0.4">
      <c r="B118" s="252" t="s">
        <v>132</v>
      </c>
      <c r="C118" s="253"/>
      <c r="D118" s="254"/>
      <c r="E118" s="61">
        <f>ROUND(SUM(E113:E117),2)</f>
        <v>4999.4399999999996</v>
      </c>
    </row>
    <row r="119" spans="2:5" ht="15.75" customHeight="1" x14ac:dyDescent="0.4">
      <c r="B119" s="13" t="s">
        <v>13</v>
      </c>
      <c r="C119" s="60" t="s">
        <v>81</v>
      </c>
      <c r="D119" s="58">
        <f>(E119/$E$120)</f>
        <v>0.2204100790436791</v>
      </c>
      <c r="E119" s="62">
        <f>E109</f>
        <v>1413.47</v>
      </c>
    </row>
    <row r="120" spans="2:5" x14ac:dyDescent="0.4">
      <c r="B120" s="234" t="s">
        <v>243</v>
      </c>
      <c r="C120" s="235"/>
      <c r="D120" s="236"/>
      <c r="E120" s="63">
        <f>ROUND((E100+E101+E118)/(1-SUM(D104+D105+D107)),2)</f>
        <v>6412.91</v>
      </c>
    </row>
    <row r="121" spans="2:5" ht="16.8" x14ac:dyDescent="0.4">
      <c r="B121" s="64"/>
      <c r="C121" s="65"/>
      <c r="D121" s="65"/>
      <c r="E121" s="66"/>
    </row>
    <row r="122" spans="2:5" x14ac:dyDescent="0.4">
      <c r="B122" s="249"/>
      <c r="C122" s="250"/>
      <c r="D122" s="250"/>
      <c r="E122" s="251"/>
    </row>
    <row r="123" spans="2:5" x14ac:dyDescent="0.4">
      <c r="E123" s="67"/>
    </row>
    <row r="124" spans="2:5" x14ac:dyDescent="0.4">
      <c r="E124" s="68"/>
    </row>
  </sheetData>
  <mergeCells count="67">
    <mergeCell ref="C68:D68"/>
    <mergeCell ref="C69:D69"/>
    <mergeCell ref="C64:D64"/>
    <mergeCell ref="B85:E85"/>
    <mergeCell ref="B71:D71"/>
    <mergeCell ref="C74:D74"/>
    <mergeCell ref="C67:D67"/>
    <mergeCell ref="B73:E73"/>
    <mergeCell ref="C79:D79"/>
    <mergeCell ref="B81:D81"/>
    <mergeCell ref="C91:D91"/>
    <mergeCell ref="C86:D86"/>
    <mergeCell ref="C89:D89"/>
    <mergeCell ref="C78:D78"/>
    <mergeCell ref="B120:D120"/>
    <mergeCell ref="B96:D96"/>
    <mergeCell ref="B90:E90"/>
    <mergeCell ref="C92:D92"/>
    <mergeCell ref="C95:D95"/>
    <mergeCell ref="D6:E6"/>
    <mergeCell ref="D12:E12"/>
    <mergeCell ref="B122:E122"/>
    <mergeCell ref="B118:D118"/>
    <mergeCell ref="C70:D70"/>
    <mergeCell ref="C80:D80"/>
    <mergeCell ref="C66:D66"/>
    <mergeCell ref="B111:E111"/>
    <mergeCell ref="B98:E98"/>
    <mergeCell ref="B109:C109"/>
    <mergeCell ref="C83:D83"/>
    <mergeCell ref="B110:E110"/>
    <mergeCell ref="B72:E72"/>
    <mergeCell ref="B82:E82"/>
    <mergeCell ref="B97:E97"/>
    <mergeCell ref="C77:D77"/>
    <mergeCell ref="D19:E19"/>
    <mergeCell ref="B14:E14"/>
    <mergeCell ref="D15:E15"/>
    <mergeCell ref="C65:D65"/>
    <mergeCell ref="B63:E63"/>
    <mergeCell ref="C57:D57"/>
    <mergeCell ref="C54:D54"/>
    <mergeCell ref="C47:D47"/>
    <mergeCell ref="C48:D48"/>
    <mergeCell ref="C50:D50"/>
    <mergeCell ref="C51:D51"/>
    <mergeCell ref="C52:D52"/>
    <mergeCell ref="C53:D53"/>
    <mergeCell ref="B56:E56"/>
    <mergeCell ref="D16:E16"/>
    <mergeCell ref="B62:E62"/>
    <mergeCell ref="B1:E1"/>
    <mergeCell ref="B45:C45"/>
    <mergeCell ref="B4:E4"/>
    <mergeCell ref="B5:E5"/>
    <mergeCell ref="B20:E20"/>
    <mergeCell ref="B29:E29"/>
    <mergeCell ref="D9:E9"/>
    <mergeCell ref="D7:E7"/>
    <mergeCell ref="D8:E8"/>
    <mergeCell ref="D18:E18"/>
    <mergeCell ref="D17:E17"/>
    <mergeCell ref="C13:E13"/>
    <mergeCell ref="B10:E10"/>
    <mergeCell ref="D11:E11"/>
    <mergeCell ref="B2:E2"/>
    <mergeCell ref="B3:E3"/>
  </mergeCells>
  <printOptions horizontalCentered="1" verticalCentered="1"/>
  <pageMargins left="0.70866141732283472" right="0.70866141732283472" top="0.74803149606299213" bottom="0.74803149606299213" header="0.31496062992125984" footer="0.31496062992125984"/>
  <pageSetup paperSize="9" scale="84" fitToHeight="0" orientation="portrait" r:id="rId1"/>
  <rowBreaks count="2" manualBreakCount="2">
    <brk id="45" max="5" man="1"/>
    <brk id="9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11">
    <pageSetUpPr fitToPage="1"/>
  </sheetPr>
  <dimension ref="B1:I124"/>
  <sheetViews>
    <sheetView showGridLines="0" topLeftCell="A25" zoomScaleNormal="100" zoomScaleSheetLayoutView="100" zoomScalePageLayoutView="70" workbookViewId="0">
      <selection activeCell="E93" sqref="E93"/>
    </sheetView>
  </sheetViews>
  <sheetFormatPr defaultColWidth="9.109375" defaultRowHeight="16.2" x14ac:dyDescent="0.4"/>
  <cols>
    <col min="1" max="1" width="1.6640625" style="16" customWidth="1"/>
    <col min="2" max="2" width="5.88671875" style="16" customWidth="1"/>
    <col min="3" max="3" width="66.44140625" style="16" bestFit="1" customWidth="1"/>
    <col min="4" max="4" width="14.33203125" style="16" bestFit="1" customWidth="1"/>
    <col min="5" max="5" width="15.33203125" style="16" bestFit="1" customWidth="1"/>
    <col min="6" max="6" width="1.6640625" style="17" customWidth="1"/>
    <col min="7" max="7" width="3.5546875" style="16" customWidth="1"/>
    <col min="8" max="16384" width="9.109375" style="16"/>
  </cols>
  <sheetData>
    <row r="1" spans="2:6" ht="16.8" x14ac:dyDescent="0.4">
      <c r="B1" s="208" t="str">
        <f>Encarregado!B1</f>
        <v>MINISTÉRIO DO DESENVOLVIMENTO REGIONAL</v>
      </c>
      <c r="C1" s="209"/>
      <c r="D1" s="209"/>
      <c r="E1" s="210"/>
      <c r="F1" s="15"/>
    </row>
    <row r="2" spans="2:6" ht="18" customHeight="1" x14ac:dyDescent="0.4">
      <c r="B2" s="231" t="s">
        <v>29</v>
      </c>
      <c r="C2" s="232"/>
      <c r="D2" s="232"/>
      <c r="E2" s="233"/>
    </row>
    <row r="3" spans="2:6" ht="15" customHeight="1" x14ac:dyDescent="0.4">
      <c r="B3" s="234"/>
      <c r="C3" s="235"/>
      <c r="D3" s="235"/>
      <c r="E3" s="236"/>
    </row>
    <row r="4" spans="2:6" x14ac:dyDescent="0.4">
      <c r="B4" s="213" t="s">
        <v>30</v>
      </c>
      <c r="C4" s="214"/>
      <c r="D4" s="214"/>
      <c r="E4" s="215"/>
    </row>
    <row r="5" spans="2:6" x14ac:dyDescent="0.4">
      <c r="B5" s="213" t="s">
        <v>85</v>
      </c>
      <c r="C5" s="214"/>
      <c r="D5" s="214"/>
      <c r="E5" s="215"/>
    </row>
    <row r="6" spans="2:6" x14ac:dyDescent="0.4">
      <c r="B6" s="18" t="s">
        <v>6</v>
      </c>
      <c r="C6" s="19" t="s">
        <v>31</v>
      </c>
      <c r="D6" s="247"/>
      <c r="E6" s="248"/>
    </row>
    <row r="7" spans="2:6" x14ac:dyDescent="0.4">
      <c r="B7" s="18" t="s">
        <v>7</v>
      </c>
      <c r="C7" s="19" t="s">
        <v>32</v>
      </c>
      <c r="D7" s="222" t="s">
        <v>34</v>
      </c>
      <c r="E7" s="223"/>
    </row>
    <row r="8" spans="2:6" x14ac:dyDescent="0.4">
      <c r="B8" s="18" t="s">
        <v>9</v>
      </c>
      <c r="C8" s="19" t="s">
        <v>33</v>
      </c>
      <c r="D8" s="222"/>
      <c r="E8" s="223"/>
    </row>
    <row r="9" spans="2:6" x14ac:dyDescent="0.4">
      <c r="B9" s="18" t="s">
        <v>10</v>
      </c>
      <c r="C9" s="19" t="s">
        <v>237</v>
      </c>
      <c r="D9" s="222" t="s">
        <v>43</v>
      </c>
      <c r="E9" s="223"/>
    </row>
    <row r="10" spans="2:6" x14ac:dyDescent="0.4">
      <c r="B10" s="213" t="s">
        <v>46</v>
      </c>
      <c r="C10" s="214"/>
      <c r="D10" s="214"/>
      <c r="E10" s="215"/>
    </row>
    <row r="11" spans="2:6" x14ac:dyDescent="0.4">
      <c r="B11" s="18"/>
      <c r="C11" s="19" t="s">
        <v>39</v>
      </c>
      <c r="D11" s="222" t="s">
        <v>306</v>
      </c>
      <c r="E11" s="223"/>
    </row>
    <row r="12" spans="2:6" x14ac:dyDescent="0.4">
      <c r="B12" s="18"/>
      <c r="C12" s="20" t="s">
        <v>40</v>
      </c>
      <c r="D12" s="222"/>
      <c r="E12" s="223"/>
    </row>
    <row r="13" spans="2:6" x14ac:dyDescent="0.4">
      <c r="B13" s="18"/>
      <c r="C13" s="228" t="s">
        <v>142</v>
      </c>
      <c r="D13" s="229"/>
      <c r="E13" s="230"/>
    </row>
    <row r="14" spans="2:6" x14ac:dyDescent="0.4">
      <c r="B14" s="237" t="s">
        <v>0</v>
      </c>
      <c r="C14" s="238"/>
      <c r="D14" s="238"/>
      <c r="E14" s="239"/>
    </row>
    <row r="15" spans="2:6" x14ac:dyDescent="0.4">
      <c r="B15" s="13">
        <v>1</v>
      </c>
      <c r="C15" s="11" t="s">
        <v>1</v>
      </c>
      <c r="D15" s="224" t="str">
        <f>'Salário-Encargos-Benefícios'!C5</f>
        <v>Servente</v>
      </c>
      <c r="E15" s="225"/>
    </row>
    <row r="16" spans="2:6" x14ac:dyDescent="0.4">
      <c r="B16" s="13">
        <v>2</v>
      </c>
      <c r="C16" s="21" t="s">
        <v>48</v>
      </c>
      <c r="D16" s="242" t="s">
        <v>145</v>
      </c>
      <c r="E16" s="243"/>
    </row>
    <row r="17" spans="2:6" x14ac:dyDescent="0.4">
      <c r="B17" s="13">
        <v>3</v>
      </c>
      <c r="C17" s="11" t="s">
        <v>2</v>
      </c>
      <c r="D17" s="226">
        <f>'Salário-Encargos-Benefícios'!D5</f>
        <v>1198.8699999999999</v>
      </c>
      <c r="E17" s="227"/>
    </row>
    <row r="18" spans="2:6" x14ac:dyDescent="0.4">
      <c r="B18" s="13">
        <v>4</v>
      </c>
      <c r="C18" s="11" t="s">
        <v>49</v>
      </c>
      <c r="D18" s="224"/>
      <c r="E18" s="225"/>
    </row>
    <row r="19" spans="2:6" x14ac:dyDescent="0.4">
      <c r="B19" s="13">
        <v>5</v>
      </c>
      <c r="C19" s="11" t="s">
        <v>3</v>
      </c>
      <c r="D19" s="224"/>
      <c r="E19" s="225"/>
    </row>
    <row r="20" spans="2:6" x14ac:dyDescent="0.4">
      <c r="B20" s="216" t="s">
        <v>101</v>
      </c>
      <c r="C20" s="217"/>
      <c r="D20" s="217"/>
      <c r="E20" s="218"/>
    </row>
    <row r="21" spans="2:6" ht="12" customHeight="1" x14ac:dyDescent="0.4">
      <c r="B21" s="9">
        <v>1</v>
      </c>
      <c r="C21" s="10" t="s">
        <v>4</v>
      </c>
      <c r="D21" s="22" t="s">
        <v>20</v>
      </c>
      <c r="E21" s="9" t="s">
        <v>5</v>
      </c>
    </row>
    <row r="22" spans="2:6" x14ac:dyDescent="0.4">
      <c r="B22" s="13" t="s">
        <v>6</v>
      </c>
      <c r="C22" s="23" t="s">
        <v>45</v>
      </c>
      <c r="D22" s="24">
        <v>1</v>
      </c>
      <c r="E22" s="25">
        <f>D17</f>
        <v>1198.8699999999999</v>
      </c>
    </row>
    <row r="23" spans="2:6" x14ac:dyDescent="0.4">
      <c r="B23" s="13" t="s">
        <v>7</v>
      </c>
      <c r="C23" s="23" t="s">
        <v>8</v>
      </c>
      <c r="D23" s="24"/>
      <c r="E23" s="25">
        <f>ROUND((E22*D23),2)</f>
        <v>0</v>
      </c>
    </row>
    <row r="24" spans="2:6" x14ac:dyDescent="0.4">
      <c r="B24" s="13" t="s">
        <v>9</v>
      </c>
      <c r="C24" s="23" t="s">
        <v>50</v>
      </c>
      <c r="D24" s="24"/>
      <c r="E24" s="25">
        <f>'Salário-Encargos-Benefícios'!G20</f>
        <v>0</v>
      </c>
    </row>
    <row r="25" spans="2:6" x14ac:dyDescent="0.4">
      <c r="B25" s="13" t="s">
        <v>10</v>
      </c>
      <c r="C25" s="23" t="s">
        <v>12</v>
      </c>
      <c r="D25" s="24"/>
      <c r="E25" s="25">
        <v>0</v>
      </c>
    </row>
    <row r="26" spans="2:6" x14ac:dyDescent="0.4">
      <c r="B26" s="13" t="s">
        <v>11</v>
      </c>
      <c r="C26" s="23" t="s">
        <v>114</v>
      </c>
      <c r="D26" s="24"/>
      <c r="E26" s="26">
        <f>'Salário-Encargos-Benefícios'!G27</f>
        <v>0</v>
      </c>
    </row>
    <row r="27" spans="2:6" x14ac:dyDescent="0.4">
      <c r="B27" s="13" t="s">
        <v>13</v>
      </c>
      <c r="C27" s="23" t="s">
        <v>16</v>
      </c>
      <c r="D27" s="24"/>
      <c r="E27" s="25">
        <v>0</v>
      </c>
    </row>
    <row r="28" spans="2:6" ht="16.8" x14ac:dyDescent="0.4">
      <c r="B28" s="27"/>
      <c r="C28" s="28" t="s">
        <v>28</v>
      </c>
      <c r="D28" s="29">
        <f>SUM(D22:D27)</f>
        <v>1</v>
      </c>
      <c r="E28" s="30">
        <f>ROUND(SUM(E22:E27),2)</f>
        <v>1198.8699999999999</v>
      </c>
      <c r="F28" s="31"/>
    </row>
    <row r="29" spans="2:6" x14ac:dyDescent="0.4">
      <c r="B29" s="219" t="s">
        <v>51</v>
      </c>
      <c r="C29" s="220"/>
      <c r="D29" s="220"/>
      <c r="E29" s="221"/>
    </row>
    <row r="30" spans="2:6" ht="33" customHeight="1" x14ac:dyDescent="0.4">
      <c r="B30" s="9" t="s">
        <v>52</v>
      </c>
      <c r="C30" s="32" t="s">
        <v>126</v>
      </c>
      <c r="D30" s="33"/>
      <c r="E30" s="9" t="s">
        <v>5</v>
      </c>
    </row>
    <row r="31" spans="2:6" x14ac:dyDescent="0.4">
      <c r="B31" s="13" t="s">
        <v>6</v>
      </c>
      <c r="C31" s="21" t="s">
        <v>53</v>
      </c>
      <c r="D31" s="34">
        <f>'Salário-Encargos-Benefícios'!C12</f>
        <v>8.3299999999999999E-2</v>
      </c>
      <c r="E31" s="35">
        <f>ROUND(($E$28*'Salário-Encargos-Benefícios'!C12),2)</f>
        <v>99.87</v>
      </c>
    </row>
    <row r="32" spans="2:6" x14ac:dyDescent="0.4">
      <c r="B32" s="13" t="s">
        <v>7</v>
      </c>
      <c r="C32" s="21" t="s">
        <v>124</v>
      </c>
      <c r="D32" s="34">
        <f>'Salário-Encargos-Benefícios'!C13</f>
        <v>2.9766666666666663E-2</v>
      </c>
      <c r="E32" s="35">
        <f>ROUND(($E$28*'Salário-Encargos-Benefícios'!C13),2)</f>
        <v>35.69</v>
      </c>
    </row>
    <row r="33" spans="2:6" x14ac:dyDescent="0.4">
      <c r="B33" s="13" t="s">
        <v>9</v>
      </c>
      <c r="C33" s="21" t="s">
        <v>119</v>
      </c>
      <c r="D33" s="34">
        <f>(D31+D32)*D45</f>
        <v>4.1608533333333336E-2</v>
      </c>
      <c r="E33" s="35">
        <f>ROUND(((E31+E32)*D45),2)</f>
        <v>49.89</v>
      </c>
    </row>
    <row r="34" spans="2:6" ht="16.8" x14ac:dyDescent="0.4">
      <c r="B34" s="27"/>
      <c r="C34" s="32" t="s">
        <v>28</v>
      </c>
      <c r="D34" s="36">
        <f>SUM(D31:D33)</f>
        <v>0.15467520000000001</v>
      </c>
      <c r="E34" s="37">
        <f>ROUND(SUM(E31:E33),2)</f>
        <v>185.45</v>
      </c>
    </row>
    <row r="35" spans="2:6" x14ac:dyDescent="0.4">
      <c r="B35" s="13"/>
      <c r="C35" s="21"/>
      <c r="D35" s="38"/>
      <c r="E35" s="39"/>
    </row>
    <row r="36" spans="2:6" ht="31.2" x14ac:dyDescent="0.4">
      <c r="B36" s="9" t="s">
        <v>54</v>
      </c>
      <c r="C36" s="40" t="s">
        <v>55</v>
      </c>
      <c r="D36" s="22" t="s">
        <v>20</v>
      </c>
      <c r="E36" s="9" t="s">
        <v>5</v>
      </c>
      <c r="F36" s="31"/>
    </row>
    <row r="37" spans="2:6" x14ac:dyDescent="0.4">
      <c r="B37" s="13" t="s">
        <v>6</v>
      </c>
      <c r="C37" s="23" t="s">
        <v>36</v>
      </c>
      <c r="D37" s="24">
        <f>'Salário-Encargos-Benefícios'!C17</f>
        <v>0.2</v>
      </c>
      <c r="E37" s="41">
        <f>ROUND(($E$28*'Salário-Encargos-Benefícios'!C17),2)</f>
        <v>239.77</v>
      </c>
    </row>
    <row r="38" spans="2:6" x14ac:dyDescent="0.4">
      <c r="B38" s="13" t="s">
        <v>7</v>
      </c>
      <c r="C38" s="23" t="s">
        <v>88</v>
      </c>
      <c r="D38" s="24">
        <f>'Salário-Encargos-Benefícios'!C18</f>
        <v>2.5000000000000001E-2</v>
      </c>
      <c r="E38" s="41">
        <f>ROUND(($E$28*'Salário-Encargos-Benefícios'!C18),2)</f>
        <v>29.97</v>
      </c>
    </row>
    <row r="39" spans="2:6" x14ac:dyDescent="0.4">
      <c r="B39" s="13" t="s">
        <v>9</v>
      </c>
      <c r="C39" s="23" t="s">
        <v>56</v>
      </c>
      <c r="D39" s="24">
        <f>'Salário-Encargos-Benefícios'!C19</f>
        <v>0.03</v>
      </c>
      <c r="E39" s="41">
        <f>ROUND(($E$28*'Salário-Encargos-Benefícios'!C19),2)</f>
        <v>35.97</v>
      </c>
    </row>
    <row r="40" spans="2:6" x14ac:dyDescent="0.4">
      <c r="B40" s="13" t="s">
        <v>10</v>
      </c>
      <c r="C40" s="23" t="s">
        <v>57</v>
      </c>
      <c r="D40" s="24">
        <f>'Salário-Encargos-Benefícios'!C20</f>
        <v>1.4999999999999999E-2</v>
      </c>
      <c r="E40" s="41">
        <f>ROUND(($E$28*'Salário-Encargos-Benefícios'!C20),2)</f>
        <v>17.98</v>
      </c>
    </row>
    <row r="41" spans="2:6" x14ac:dyDescent="0.4">
      <c r="B41" s="13" t="s">
        <v>11</v>
      </c>
      <c r="C41" s="23" t="s">
        <v>58</v>
      </c>
      <c r="D41" s="24">
        <f>'Salário-Encargos-Benefícios'!C21</f>
        <v>0.01</v>
      </c>
      <c r="E41" s="41">
        <f>ROUND(($E$28*'Salário-Encargos-Benefícios'!C21),2)</f>
        <v>11.99</v>
      </c>
    </row>
    <row r="42" spans="2:6" x14ac:dyDescent="0.4">
      <c r="B42" s="13" t="s">
        <v>13</v>
      </c>
      <c r="C42" s="23" t="s">
        <v>38</v>
      </c>
      <c r="D42" s="24">
        <f>'Salário-Encargos-Benefícios'!C22</f>
        <v>6.0000000000000001E-3</v>
      </c>
      <c r="E42" s="41">
        <f>ROUND(($E$28*'Salário-Encargos-Benefícios'!C22),2)</f>
        <v>7.19</v>
      </c>
    </row>
    <row r="43" spans="2:6" x14ac:dyDescent="0.4">
      <c r="B43" s="13" t="s">
        <v>14</v>
      </c>
      <c r="C43" s="23" t="s">
        <v>37</v>
      </c>
      <c r="D43" s="24">
        <f>'Salário-Encargos-Benefícios'!C23</f>
        <v>2E-3</v>
      </c>
      <c r="E43" s="41">
        <f>ROUND(($E$28*'Salário-Encargos-Benefícios'!C23),2)</f>
        <v>2.4</v>
      </c>
    </row>
    <row r="44" spans="2:6" x14ac:dyDescent="0.4">
      <c r="B44" s="13" t="s">
        <v>15</v>
      </c>
      <c r="C44" s="23" t="s">
        <v>59</v>
      </c>
      <c r="D44" s="24">
        <f>'Salário-Encargos-Benefícios'!C24</f>
        <v>0.08</v>
      </c>
      <c r="E44" s="41">
        <f>ROUND(($E$28*'Salário-Encargos-Benefícios'!C24),2)</f>
        <v>95.91</v>
      </c>
    </row>
    <row r="45" spans="2:6" x14ac:dyDescent="0.4">
      <c r="B45" s="211" t="s">
        <v>44</v>
      </c>
      <c r="C45" s="212"/>
      <c r="D45" s="42">
        <f>SUM(D37:D44)</f>
        <v>0.36800000000000005</v>
      </c>
      <c r="E45" s="43">
        <f>ROUND(SUM(E37:E44),2)</f>
        <v>441.18</v>
      </c>
    </row>
    <row r="46" spans="2:6" ht="11.1" customHeight="1" x14ac:dyDescent="0.4">
      <c r="B46" s="13"/>
      <c r="C46" s="23"/>
      <c r="D46" s="44"/>
      <c r="E46" s="39"/>
    </row>
    <row r="47" spans="2:6" x14ac:dyDescent="0.4">
      <c r="B47" s="9" t="s">
        <v>60</v>
      </c>
      <c r="C47" s="234" t="s">
        <v>61</v>
      </c>
      <c r="D47" s="236"/>
      <c r="E47" s="9" t="s">
        <v>5</v>
      </c>
    </row>
    <row r="48" spans="2:6" x14ac:dyDescent="0.4">
      <c r="B48" s="13" t="s">
        <v>6</v>
      </c>
      <c r="C48" s="240" t="s">
        <v>130</v>
      </c>
      <c r="D48" s="241"/>
      <c r="E48" s="25">
        <f>ROUND(('Salário-Encargos-Benefícios'!$C$48*21)-(0.06*Servente!E22),2)</f>
        <v>138.07</v>
      </c>
    </row>
    <row r="49" spans="2:6" x14ac:dyDescent="0.4">
      <c r="B49" s="13" t="s">
        <v>7</v>
      </c>
      <c r="C49" s="240" t="s">
        <v>131</v>
      </c>
      <c r="D49" s="241"/>
      <c r="E49" s="25">
        <f>ROUND(('Salário-Encargos-Benefícios'!C51*21),2)</f>
        <v>693</v>
      </c>
    </row>
    <row r="50" spans="2:6" ht="18.75" customHeight="1" x14ac:dyDescent="0.4">
      <c r="B50" s="13" t="s">
        <v>9</v>
      </c>
      <c r="C50" s="240" t="s">
        <v>117</v>
      </c>
      <c r="D50" s="241"/>
      <c r="E50" s="25">
        <f>'Salário-Encargos-Benefícios'!C53</f>
        <v>0</v>
      </c>
    </row>
    <row r="51" spans="2:6" x14ac:dyDescent="0.4">
      <c r="B51" s="13" t="s">
        <v>10</v>
      </c>
      <c r="C51" s="240" t="s">
        <v>115</v>
      </c>
      <c r="D51" s="241"/>
      <c r="E51" s="25">
        <f>'Salário-Encargos-Benefícios'!C55</f>
        <v>0</v>
      </c>
    </row>
    <row r="52" spans="2:6" ht="16.5" customHeight="1" x14ac:dyDescent="0.4">
      <c r="B52" s="13" t="s">
        <v>11</v>
      </c>
      <c r="C52" s="240" t="s">
        <v>118</v>
      </c>
      <c r="D52" s="241"/>
      <c r="E52" s="25">
        <f>'Salário-Encargos-Benefícios'!C56</f>
        <v>2</v>
      </c>
    </row>
    <row r="53" spans="2:6" x14ac:dyDescent="0.4">
      <c r="B53" s="13" t="s">
        <v>14</v>
      </c>
      <c r="C53" s="240" t="s">
        <v>16</v>
      </c>
      <c r="D53" s="241"/>
      <c r="E53" s="25">
        <f>'Salário-Encargos-Benefícios'!C57</f>
        <v>0</v>
      </c>
    </row>
    <row r="54" spans="2:6" ht="16.8" x14ac:dyDescent="0.4">
      <c r="B54" s="27"/>
      <c r="C54" s="32" t="s">
        <v>35</v>
      </c>
      <c r="D54" s="33"/>
      <c r="E54" s="37">
        <f>ROUND(SUM(E48:E53),2)</f>
        <v>833.07</v>
      </c>
      <c r="F54" s="31"/>
    </row>
    <row r="55" spans="2:6" x14ac:dyDescent="0.4">
      <c r="B55" s="237"/>
      <c r="C55" s="238"/>
      <c r="D55" s="238"/>
      <c r="E55" s="239"/>
      <c r="F55" s="31"/>
    </row>
    <row r="56" spans="2:6" ht="32.25" customHeight="1" x14ac:dyDescent="0.4">
      <c r="B56" s="9">
        <v>2</v>
      </c>
      <c r="C56" s="234" t="s">
        <v>62</v>
      </c>
      <c r="D56" s="236"/>
      <c r="E56" s="9" t="s">
        <v>5</v>
      </c>
      <c r="F56" s="31"/>
    </row>
    <row r="57" spans="2:6" x14ac:dyDescent="0.4">
      <c r="B57" s="13" t="s">
        <v>52</v>
      </c>
      <c r="C57" s="21" t="s">
        <v>126</v>
      </c>
      <c r="D57" s="38"/>
      <c r="E57" s="39">
        <f>E34</f>
        <v>185.45</v>
      </c>
      <c r="F57" s="31"/>
    </row>
    <row r="58" spans="2:6" x14ac:dyDescent="0.4">
      <c r="B58" s="13" t="s">
        <v>54</v>
      </c>
      <c r="C58" s="21" t="s">
        <v>63</v>
      </c>
      <c r="D58" s="38"/>
      <c r="E58" s="39">
        <f>E45</f>
        <v>441.18</v>
      </c>
      <c r="F58" s="31"/>
    </row>
    <row r="59" spans="2:6" x14ac:dyDescent="0.4">
      <c r="B59" s="13" t="s">
        <v>60</v>
      </c>
      <c r="C59" s="21" t="s">
        <v>61</v>
      </c>
      <c r="D59" s="38"/>
      <c r="E59" s="39">
        <f>E54</f>
        <v>833.07</v>
      </c>
      <c r="F59" s="31"/>
    </row>
    <row r="60" spans="2:6" ht="16.8" x14ac:dyDescent="0.4">
      <c r="B60" s="27"/>
      <c r="C60" s="32" t="s">
        <v>35</v>
      </c>
      <c r="D60" s="33"/>
      <c r="E60" s="37">
        <f>SUM(E57:E59)</f>
        <v>1459.7</v>
      </c>
      <c r="F60" s="31"/>
    </row>
    <row r="61" spans="2:6" ht="16.8" x14ac:dyDescent="0.4">
      <c r="B61" s="244"/>
      <c r="C61" s="245"/>
      <c r="D61" s="245"/>
      <c r="E61" s="246"/>
      <c r="F61" s="31"/>
    </row>
    <row r="62" spans="2:6" x14ac:dyDescent="0.4">
      <c r="B62" s="219" t="s">
        <v>68</v>
      </c>
      <c r="C62" s="220"/>
      <c r="D62" s="220"/>
      <c r="E62" s="221"/>
    </row>
    <row r="63" spans="2:6" x14ac:dyDescent="0.4">
      <c r="B63" s="9">
        <v>3</v>
      </c>
      <c r="C63" s="234" t="s">
        <v>41</v>
      </c>
      <c r="D63" s="236"/>
      <c r="E63" s="9" t="s">
        <v>5</v>
      </c>
      <c r="F63" s="31"/>
    </row>
    <row r="64" spans="2:6" x14ac:dyDescent="0.4">
      <c r="B64" s="13" t="s">
        <v>6</v>
      </c>
      <c r="C64" s="240" t="s">
        <v>22</v>
      </c>
      <c r="D64" s="241"/>
      <c r="E64" s="41">
        <f>ROUND(($E$28*'Salário-Encargos-Benefícios'!C27),2)</f>
        <v>5</v>
      </c>
    </row>
    <row r="65" spans="2:6" x14ac:dyDescent="0.4">
      <c r="B65" s="13" t="s">
        <v>7</v>
      </c>
      <c r="C65" s="240" t="s">
        <v>64</v>
      </c>
      <c r="D65" s="241"/>
      <c r="E65" s="41">
        <f>ROUND(($E$28*'Salário-Encargos-Benefícios'!C28),2)</f>
        <v>0.4</v>
      </c>
    </row>
    <row r="66" spans="2:6" x14ac:dyDescent="0.4">
      <c r="B66" s="13" t="s">
        <v>9</v>
      </c>
      <c r="C66" s="240" t="s">
        <v>65</v>
      </c>
      <c r="D66" s="241"/>
      <c r="E66" s="41">
        <f>ROUND(($E$28*'Salário-Encargos-Benefícios'!C29),2)</f>
        <v>0</v>
      </c>
    </row>
    <row r="67" spans="2:6" x14ac:dyDescent="0.4">
      <c r="B67" s="13" t="s">
        <v>10</v>
      </c>
      <c r="C67" s="240" t="s">
        <v>23</v>
      </c>
      <c r="D67" s="241"/>
      <c r="E67" s="41">
        <f>ROUND(($E$28*'Salário-Encargos-Benefícios'!C30),2)</f>
        <v>23.31</v>
      </c>
    </row>
    <row r="68" spans="2:6" x14ac:dyDescent="0.4">
      <c r="B68" s="13" t="s">
        <v>11</v>
      </c>
      <c r="C68" s="240" t="s">
        <v>66</v>
      </c>
      <c r="D68" s="241"/>
      <c r="E68" s="45">
        <f>ROUND(($E$28*'Salário-Encargos-Benefícios'!C31),2)</f>
        <v>8.58</v>
      </c>
    </row>
    <row r="69" spans="2:6" x14ac:dyDescent="0.4">
      <c r="B69" s="13" t="s">
        <v>13</v>
      </c>
      <c r="C69" s="240" t="s">
        <v>67</v>
      </c>
      <c r="D69" s="241"/>
      <c r="E69" s="45">
        <f>ROUND(($E$28*'Salário-Encargos-Benefícios'!C32),2)</f>
        <v>59.94</v>
      </c>
    </row>
    <row r="70" spans="2:6" x14ac:dyDescent="0.4">
      <c r="B70" s="234" t="s">
        <v>44</v>
      </c>
      <c r="C70" s="235"/>
      <c r="D70" s="236"/>
      <c r="E70" s="43">
        <f>ROUND(SUM(E64:E69),2)</f>
        <v>97.23</v>
      </c>
      <c r="F70" s="31"/>
    </row>
    <row r="71" spans="2:6" x14ac:dyDescent="0.4">
      <c r="B71" s="237"/>
      <c r="C71" s="238"/>
      <c r="D71" s="238"/>
      <c r="E71" s="239"/>
      <c r="F71" s="31"/>
    </row>
    <row r="72" spans="2:6" x14ac:dyDescent="0.4">
      <c r="B72" s="219" t="s">
        <v>69</v>
      </c>
      <c r="C72" s="220"/>
      <c r="D72" s="220"/>
      <c r="E72" s="221"/>
      <c r="F72" s="31"/>
    </row>
    <row r="73" spans="2:6" x14ac:dyDescent="0.4">
      <c r="B73" s="9" t="s">
        <v>19</v>
      </c>
      <c r="C73" s="234" t="s">
        <v>70</v>
      </c>
      <c r="D73" s="236"/>
      <c r="E73" s="9" t="s">
        <v>5</v>
      </c>
      <c r="F73" s="31"/>
    </row>
    <row r="74" spans="2:6" x14ac:dyDescent="0.4">
      <c r="B74" s="13" t="s">
        <v>6</v>
      </c>
      <c r="C74" s="21" t="s">
        <v>125</v>
      </c>
      <c r="D74" s="38"/>
      <c r="E74" s="46">
        <f>ROUND(($E$28*'Salário-Encargos-Benefícios'!C36),2)</f>
        <v>108.98</v>
      </c>
      <c r="F74" s="31"/>
    </row>
    <row r="75" spans="2:6" x14ac:dyDescent="0.4">
      <c r="B75" s="13" t="s">
        <v>7</v>
      </c>
      <c r="C75" s="21" t="s">
        <v>70</v>
      </c>
      <c r="D75" s="38"/>
      <c r="E75" s="46">
        <f>ROUND(($E$28*'Salário-Encargos-Benefícios'!C37),2)</f>
        <v>19.98</v>
      </c>
      <c r="F75" s="31"/>
    </row>
    <row r="76" spans="2:6" x14ac:dyDescent="0.4">
      <c r="B76" s="13" t="s">
        <v>9</v>
      </c>
      <c r="C76" s="240" t="s">
        <v>71</v>
      </c>
      <c r="D76" s="241"/>
      <c r="E76" s="46">
        <f>ROUND(($E$28*'Salário-Encargos-Benefícios'!C38),2)</f>
        <v>0.24</v>
      </c>
      <c r="F76" s="31"/>
    </row>
    <row r="77" spans="2:6" x14ac:dyDescent="0.4">
      <c r="B77" s="13" t="s">
        <v>10</v>
      </c>
      <c r="C77" s="240" t="s">
        <v>72</v>
      </c>
      <c r="D77" s="241"/>
      <c r="E77" s="46">
        <f>ROUND(($E$28*'Salário-Encargos-Benefícios'!C39),2)</f>
        <v>1.23</v>
      </c>
      <c r="F77" s="31"/>
    </row>
    <row r="78" spans="2:6" x14ac:dyDescent="0.4">
      <c r="B78" s="13" t="s">
        <v>11</v>
      </c>
      <c r="C78" s="240" t="s">
        <v>42</v>
      </c>
      <c r="D78" s="241"/>
      <c r="E78" s="46">
        <f>ROUND(($E$28*'Salário-Encargos-Benefícios'!C40),2)</f>
        <v>0.57999999999999996</v>
      </c>
      <c r="F78" s="31"/>
    </row>
    <row r="79" spans="2:6" ht="30" customHeight="1" x14ac:dyDescent="0.4">
      <c r="B79" s="13" t="s">
        <v>13</v>
      </c>
      <c r="C79" s="240" t="s">
        <v>120</v>
      </c>
      <c r="D79" s="241"/>
      <c r="E79" s="47">
        <f>ROUND((SUM(E74:E78)*D45),2)</f>
        <v>48.21</v>
      </c>
      <c r="F79" s="31"/>
    </row>
    <row r="80" spans="2:6" x14ac:dyDescent="0.4">
      <c r="B80" s="234" t="s">
        <v>44</v>
      </c>
      <c r="C80" s="235"/>
      <c r="D80" s="236"/>
      <c r="E80" s="43">
        <f>ROUND(SUM(E74:E79),2)</f>
        <v>179.22</v>
      </c>
      <c r="F80" s="31"/>
    </row>
    <row r="81" spans="2:6" x14ac:dyDescent="0.4">
      <c r="B81" s="237"/>
      <c r="C81" s="238"/>
      <c r="D81" s="238"/>
      <c r="E81" s="239"/>
      <c r="F81" s="31"/>
    </row>
    <row r="82" spans="2:6" x14ac:dyDescent="0.4">
      <c r="B82" s="9" t="s">
        <v>21</v>
      </c>
      <c r="C82" s="234" t="s">
        <v>73</v>
      </c>
      <c r="D82" s="236"/>
      <c r="E82" s="9" t="s">
        <v>5</v>
      </c>
      <c r="F82" s="31"/>
    </row>
    <row r="83" spans="2:6" x14ac:dyDescent="0.4">
      <c r="B83" s="13" t="s">
        <v>6</v>
      </c>
      <c r="C83" s="21" t="s">
        <v>74</v>
      </c>
      <c r="D83" s="38"/>
      <c r="E83" s="39">
        <v>0</v>
      </c>
      <c r="F83" s="31"/>
    </row>
    <row r="84" spans="2:6" x14ac:dyDescent="0.4">
      <c r="B84" s="237"/>
      <c r="C84" s="238"/>
      <c r="D84" s="238"/>
      <c r="E84" s="239"/>
      <c r="F84" s="31"/>
    </row>
    <row r="85" spans="2:6" ht="29.25" customHeight="1" x14ac:dyDescent="0.4">
      <c r="B85" s="9">
        <v>4</v>
      </c>
      <c r="C85" s="234" t="s">
        <v>75</v>
      </c>
      <c r="D85" s="236"/>
      <c r="E85" s="9" t="s">
        <v>5</v>
      </c>
      <c r="F85" s="31"/>
    </row>
    <row r="86" spans="2:6" x14ac:dyDescent="0.4">
      <c r="B86" s="13" t="s">
        <v>19</v>
      </c>
      <c r="C86" s="21" t="s">
        <v>76</v>
      </c>
      <c r="D86" s="38"/>
      <c r="E86" s="39">
        <f>E80</f>
        <v>179.22</v>
      </c>
      <c r="F86" s="31"/>
    </row>
    <row r="87" spans="2:6" x14ac:dyDescent="0.4">
      <c r="B87" s="13" t="s">
        <v>21</v>
      </c>
      <c r="C87" s="21" t="s">
        <v>73</v>
      </c>
      <c r="D87" s="38"/>
      <c r="E87" s="39">
        <f>E83</f>
        <v>0</v>
      </c>
      <c r="F87" s="31"/>
    </row>
    <row r="88" spans="2:6" x14ac:dyDescent="0.4">
      <c r="B88" s="32"/>
      <c r="C88" s="235" t="s">
        <v>77</v>
      </c>
      <c r="D88" s="236"/>
      <c r="E88" s="43">
        <f>ROUND(SUM(E86:E87),2)</f>
        <v>179.22</v>
      </c>
      <c r="F88" s="31"/>
    </row>
    <row r="89" spans="2:6" x14ac:dyDescent="0.4">
      <c r="B89" s="219" t="s">
        <v>78</v>
      </c>
      <c r="C89" s="220"/>
      <c r="D89" s="220"/>
      <c r="E89" s="221"/>
    </row>
    <row r="90" spans="2:6" x14ac:dyDescent="0.4">
      <c r="B90" s="9">
        <v>5</v>
      </c>
      <c r="C90" s="234" t="s">
        <v>17</v>
      </c>
      <c r="D90" s="236"/>
      <c r="E90" s="9" t="s">
        <v>5</v>
      </c>
    </row>
    <row r="91" spans="2:6" x14ac:dyDescent="0.4">
      <c r="B91" s="13" t="s">
        <v>6</v>
      </c>
      <c r="C91" s="240" t="s">
        <v>18</v>
      </c>
      <c r="D91" s="241"/>
      <c r="E91" s="39">
        <f>Uniformes!F22</f>
        <v>35.626666666666665</v>
      </c>
    </row>
    <row r="92" spans="2:6" x14ac:dyDescent="0.4">
      <c r="B92" s="13" t="s">
        <v>7</v>
      </c>
      <c r="C92" s="122" t="s">
        <v>136</v>
      </c>
      <c r="D92" s="123"/>
      <c r="E92" s="39">
        <f>Equipamentos!J27</f>
        <v>33.793787037037042</v>
      </c>
    </row>
    <row r="93" spans="2:6" x14ac:dyDescent="0.4">
      <c r="B93" s="13" t="s">
        <v>9</v>
      </c>
      <c r="C93" s="133" t="s">
        <v>135</v>
      </c>
      <c r="D93" s="70"/>
      <c r="E93" s="39">
        <f>Materiais!K60</f>
        <v>1085.4507426303851</v>
      </c>
    </row>
    <row r="94" spans="2:6" x14ac:dyDescent="0.4">
      <c r="B94" s="13"/>
      <c r="C94" s="240"/>
      <c r="D94" s="241"/>
      <c r="E94" s="39"/>
    </row>
    <row r="95" spans="2:6" ht="16.5" customHeight="1" x14ac:dyDescent="0.4">
      <c r="B95" s="234" t="s">
        <v>44</v>
      </c>
      <c r="C95" s="235"/>
      <c r="D95" s="236"/>
      <c r="E95" s="43">
        <f>ROUND(SUM(E91:E94),2)</f>
        <v>1154.8699999999999</v>
      </c>
      <c r="F95" s="31"/>
    </row>
    <row r="96" spans="2:6" ht="16.8" x14ac:dyDescent="0.4">
      <c r="B96" s="255"/>
      <c r="C96" s="256"/>
      <c r="D96" s="256"/>
      <c r="E96" s="257"/>
    </row>
    <row r="97" spans="2:9" x14ac:dyDescent="0.4">
      <c r="B97" s="216" t="s">
        <v>121</v>
      </c>
      <c r="C97" s="217"/>
      <c r="D97" s="217"/>
      <c r="E97" s="218"/>
    </row>
    <row r="98" spans="2:9" x14ac:dyDescent="0.4">
      <c r="B98" s="9">
        <v>6</v>
      </c>
      <c r="C98" s="40" t="s">
        <v>24</v>
      </c>
      <c r="D98" s="22" t="s">
        <v>20</v>
      </c>
      <c r="E98" s="9" t="s">
        <v>5</v>
      </c>
    </row>
    <row r="99" spans="2:9" x14ac:dyDescent="0.4">
      <c r="B99" s="13" t="s">
        <v>6</v>
      </c>
      <c r="C99" s="23" t="s">
        <v>25</v>
      </c>
      <c r="D99" s="48">
        <f>Encarregado!D100</f>
        <v>0.03</v>
      </c>
      <c r="E99" s="49">
        <f>ROUND((E117)*(D99),2)</f>
        <v>122.7</v>
      </c>
    </row>
    <row r="100" spans="2:9" x14ac:dyDescent="0.4">
      <c r="B100" s="13" t="s">
        <v>7</v>
      </c>
      <c r="C100" s="23" t="s">
        <v>27</v>
      </c>
      <c r="D100" s="48">
        <f>Encarregado!D101</f>
        <v>6.7900000000000002E-2</v>
      </c>
      <c r="E100" s="49">
        <f>ROUND((E99+E117)*(D100),2)</f>
        <v>286.02999999999997</v>
      </c>
    </row>
    <row r="101" spans="2:9" x14ac:dyDescent="0.4">
      <c r="B101" s="13" t="s">
        <v>9</v>
      </c>
      <c r="C101" s="23" t="s">
        <v>26</v>
      </c>
      <c r="D101" s="50"/>
      <c r="E101" s="49"/>
    </row>
    <row r="102" spans="2:9" x14ac:dyDescent="0.4">
      <c r="B102" s="11"/>
      <c r="C102" s="40" t="s">
        <v>82</v>
      </c>
      <c r="D102" s="50"/>
      <c r="E102" s="51"/>
    </row>
    <row r="103" spans="2:9" x14ac:dyDescent="0.4">
      <c r="B103" s="11"/>
      <c r="C103" s="23" t="s">
        <v>83</v>
      </c>
      <c r="D103" s="50">
        <v>1.6500000000000001E-2</v>
      </c>
      <c r="E103" s="49">
        <f>ROUND((E119*D103),2)</f>
        <v>86.56</v>
      </c>
    </row>
    <row r="104" spans="2:9" x14ac:dyDescent="0.4">
      <c r="B104" s="11"/>
      <c r="C104" s="23" t="s">
        <v>84</v>
      </c>
      <c r="D104" s="50">
        <v>7.5999999999999998E-2</v>
      </c>
      <c r="E104" s="49">
        <f>ROUND((E119*D104),2)</f>
        <v>398.71</v>
      </c>
    </row>
    <row r="105" spans="2:9" x14ac:dyDescent="0.4">
      <c r="B105" s="11"/>
      <c r="C105" s="40" t="s">
        <v>100</v>
      </c>
      <c r="D105" s="50"/>
      <c r="E105" s="49"/>
    </row>
    <row r="106" spans="2:9" x14ac:dyDescent="0.4">
      <c r="B106" s="11"/>
      <c r="C106" s="23" t="s">
        <v>98</v>
      </c>
      <c r="D106" s="50">
        <v>0.05</v>
      </c>
      <c r="E106" s="49">
        <f>ROUND((E119*D106),2)</f>
        <v>262.31</v>
      </c>
    </row>
    <row r="107" spans="2:9" x14ac:dyDescent="0.4">
      <c r="B107" s="11"/>
      <c r="C107" s="40" t="s">
        <v>99</v>
      </c>
      <c r="D107" s="50"/>
      <c r="E107" s="51"/>
    </row>
    <row r="108" spans="2:9" x14ac:dyDescent="0.4">
      <c r="B108" s="234" t="s">
        <v>44</v>
      </c>
      <c r="C108" s="236"/>
      <c r="D108" s="52">
        <f>SUM(D99:D107)</f>
        <v>0.2404</v>
      </c>
      <c r="E108" s="53">
        <f>ROUND(SUM(E99:E107),2)</f>
        <v>1156.31</v>
      </c>
      <c r="F108" s="31"/>
    </row>
    <row r="109" spans="2:9" ht="16.8" x14ac:dyDescent="0.4">
      <c r="B109" s="255"/>
      <c r="C109" s="256"/>
      <c r="D109" s="256"/>
      <c r="E109" s="257"/>
    </row>
    <row r="110" spans="2:9" x14ac:dyDescent="0.4">
      <c r="B110" s="219" t="s">
        <v>79</v>
      </c>
      <c r="C110" s="220"/>
      <c r="D110" s="220"/>
      <c r="E110" s="221"/>
    </row>
    <row r="111" spans="2:9" ht="36" customHeight="1" x14ac:dyDescent="0.4">
      <c r="B111" s="54"/>
      <c r="C111" s="32" t="s">
        <v>122</v>
      </c>
      <c r="D111" s="55" t="s">
        <v>123</v>
      </c>
      <c r="E111" s="9" t="s">
        <v>5</v>
      </c>
      <c r="F111" s="56"/>
      <c r="G111" s="57"/>
      <c r="I111" s="17"/>
    </row>
    <row r="112" spans="2:9" x14ac:dyDescent="0.4">
      <c r="B112" s="13" t="s">
        <v>6</v>
      </c>
      <c r="C112" s="23" t="s">
        <v>95</v>
      </c>
      <c r="D112" s="58">
        <f>(E112/$E$119)</f>
        <v>0.22852159658419427</v>
      </c>
      <c r="E112" s="39">
        <f>E28</f>
        <v>1198.8699999999999</v>
      </c>
      <c r="F112" s="59"/>
    </row>
    <row r="113" spans="2:6" x14ac:dyDescent="0.4">
      <c r="B113" s="13" t="s">
        <v>7</v>
      </c>
      <c r="C113" s="23" t="s">
        <v>96</v>
      </c>
      <c r="D113" s="58">
        <f>(E113/$E$119)</f>
        <v>0.27823948762914114</v>
      </c>
      <c r="E113" s="39">
        <f>E60</f>
        <v>1459.7</v>
      </c>
      <c r="F113" s="59"/>
    </row>
    <row r="114" spans="2:6" x14ac:dyDescent="0.4">
      <c r="B114" s="13" t="s">
        <v>9</v>
      </c>
      <c r="C114" s="23" t="s">
        <v>97</v>
      </c>
      <c r="D114" s="58">
        <f>(E114/$E$119)</f>
        <v>1.8533414662041097E-2</v>
      </c>
      <c r="E114" s="39">
        <f>E70</f>
        <v>97.23</v>
      </c>
      <c r="F114" s="23"/>
    </row>
    <row r="115" spans="2:6" x14ac:dyDescent="0.4">
      <c r="B115" s="13" t="s">
        <v>10</v>
      </c>
      <c r="C115" s="60" t="s">
        <v>80</v>
      </c>
      <c r="D115" s="58">
        <f>(E115/$E$119)</f>
        <v>3.4161869543669704E-2</v>
      </c>
      <c r="E115" s="39">
        <f>E88</f>
        <v>179.22</v>
      </c>
      <c r="F115" s="59"/>
    </row>
    <row r="116" spans="2:6" x14ac:dyDescent="0.4">
      <c r="B116" s="13" t="s">
        <v>11</v>
      </c>
      <c r="C116" s="23" t="s">
        <v>94</v>
      </c>
      <c r="D116" s="58">
        <f>(E116/$E$119)</f>
        <v>0.2201345735961267</v>
      </c>
      <c r="E116" s="39">
        <f>E95</f>
        <v>1154.8699999999999</v>
      </c>
      <c r="F116" s="23"/>
    </row>
    <row r="117" spans="2:6" x14ac:dyDescent="0.4">
      <c r="B117" s="252" t="s">
        <v>133</v>
      </c>
      <c r="C117" s="253"/>
      <c r="D117" s="254"/>
      <c r="E117" s="61">
        <f>ROUND(SUM(E112:E116),2)</f>
        <v>4089.89</v>
      </c>
    </row>
    <row r="118" spans="2:6" x14ac:dyDescent="0.4">
      <c r="B118" s="13" t="s">
        <v>13</v>
      </c>
      <c r="C118" s="60" t="s">
        <v>81</v>
      </c>
      <c r="D118" s="58">
        <f>(E118/$E$119)</f>
        <v>0.2204090579848271</v>
      </c>
      <c r="E118" s="62">
        <f>E108</f>
        <v>1156.31</v>
      </c>
      <c r="F118" s="59"/>
    </row>
    <row r="119" spans="2:6" ht="15.75" customHeight="1" x14ac:dyDescent="0.4">
      <c r="B119" s="234" t="s">
        <v>244</v>
      </c>
      <c r="C119" s="235"/>
      <c r="D119" s="236"/>
      <c r="E119" s="63">
        <f>ROUND((E99+E100+E117)/(1-SUM(D103+D104+D106)),2)</f>
        <v>5246.2</v>
      </c>
      <c r="F119" s="31"/>
    </row>
    <row r="120" spans="2:6" ht="15.75" customHeight="1" x14ac:dyDescent="0.4">
      <c r="B120" s="138"/>
      <c r="C120" s="139"/>
      <c r="D120" s="139"/>
      <c r="E120" s="140"/>
      <c r="F120" s="31"/>
    </row>
    <row r="121" spans="2:6" ht="16.8" x14ac:dyDescent="0.4">
      <c r="B121" s="64"/>
      <c r="C121" s="65"/>
      <c r="D121" s="65"/>
      <c r="E121" s="66"/>
    </row>
    <row r="122" spans="2:6" x14ac:dyDescent="0.4">
      <c r="B122" s="249"/>
      <c r="C122" s="250"/>
      <c r="D122" s="250"/>
      <c r="E122" s="251"/>
    </row>
    <row r="123" spans="2:6" x14ac:dyDescent="0.4">
      <c r="E123" s="67"/>
    </row>
    <row r="124" spans="2:6" x14ac:dyDescent="0.4">
      <c r="E124" s="68"/>
    </row>
  </sheetData>
  <mergeCells count="67">
    <mergeCell ref="B119:D119"/>
    <mergeCell ref="B122:E122"/>
    <mergeCell ref="B96:E96"/>
    <mergeCell ref="B97:E97"/>
    <mergeCell ref="B108:C108"/>
    <mergeCell ref="B109:E109"/>
    <mergeCell ref="B110:E110"/>
    <mergeCell ref="B117:D117"/>
    <mergeCell ref="B95:D95"/>
    <mergeCell ref="B80:D80"/>
    <mergeCell ref="B81:E81"/>
    <mergeCell ref="C82:D82"/>
    <mergeCell ref="B84:E84"/>
    <mergeCell ref="C85:D85"/>
    <mergeCell ref="C88:D88"/>
    <mergeCell ref="B89:E89"/>
    <mergeCell ref="C90:D90"/>
    <mergeCell ref="C91:D91"/>
    <mergeCell ref="C94:D94"/>
    <mergeCell ref="C79:D79"/>
    <mergeCell ref="C66:D66"/>
    <mergeCell ref="C67:D67"/>
    <mergeCell ref="C68:D68"/>
    <mergeCell ref="C69:D69"/>
    <mergeCell ref="B70:D70"/>
    <mergeCell ref="B71:E71"/>
    <mergeCell ref="B72:E72"/>
    <mergeCell ref="C73:D73"/>
    <mergeCell ref="C76:D76"/>
    <mergeCell ref="C77:D77"/>
    <mergeCell ref="C78:D78"/>
    <mergeCell ref="C65:D65"/>
    <mergeCell ref="C49:D49"/>
    <mergeCell ref="C50:D50"/>
    <mergeCell ref="C51:D51"/>
    <mergeCell ref="C52:D52"/>
    <mergeCell ref="C53:D53"/>
    <mergeCell ref="B55:E55"/>
    <mergeCell ref="C56:D56"/>
    <mergeCell ref="B61:E61"/>
    <mergeCell ref="B62:E62"/>
    <mergeCell ref="C63:D63"/>
    <mergeCell ref="C64:D64"/>
    <mergeCell ref="C48:D48"/>
    <mergeCell ref="C13:E13"/>
    <mergeCell ref="B14:E14"/>
    <mergeCell ref="D15:E15"/>
    <mergeCell ref="D16:E16"/>
    <mergeCell ref="D17:E17"/>
    <mergeCell ref="D18:E18"/>
    <mergeCell ref="D19:E19"/>
    <mergeCell ref="B20:E20"/>
    <mergeCell ref="B29:E29"/>
    <mergeCell ref="B45:C45"/>
    <mergeCell ref="C47:D47"/>
    <mergeCell ref="D12:E12"/>
    <mergeCell ref="B1:E1"/>
    <mergeCell ref="B2:E2"/>
    <mergeCell ref="B3:E3"/>
    <mergeCell ref="B4:E4"/>
    <mergeCell ref="B5:E5"/>
    <mergeCell ref="D6:E6"/>
    <mergeCell ref="D7:E7"/>
    <mergeCell ref="D8:E8"/>
    <mergeCell ref="D9:E9"/>
    <mergeCell ref="B10:E10"/>
    <mergeCell ref="D11:E11"/>
  </mergeCells>
  <printOptions horizontalCentered="1" verticalCentered="1"/>
  <pageMargins left="0.70866141732283472" right="0.70866141732283472" top="0.74803149606299213" bottom="0.74803149606299213" header="0.31496062992125984" footer="0.31496062992125984"/>
  <pageSetup paperSize="9" scale="82" fitToHeight="0" orientation="portrait" r:id="rId1"/>
  <rowBreaks count="2" manualBreakCount="2">
    <brk id="45" max="5" man="1"/>
    <brk id="96"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2">
    <pageSetUpPr fitToPage="1"/>
  </sheetPr>
  <dimension ref="B1:I123"/>
  <sheetViews>
    <sheetView showGridLines="0" zoomScaleNormal="100" zoomScaleSheetLayoutView="100" zoomScalePageLayoutView="70" workbookViewId="0">
      <selection activeCell="E92" sqref="E92:E93"/>
    </sheetView>
  </sheetViews>
  <sheetFormatPr defaultColWidth="9.109375" defaultRowHeight="16.2" x14ac:dyDescent="0.4"/>
  <cols>
    <col min="1" max="1" width="1.6640625" style="16" customWidth="1"/>
    <col min="2" max="2" width="5.88671875" style="16" customWidth="1"/>
    <col min="3" max="3" width="65.109375" style="16" customWidth="1"/>
    <col min="4" max="4" width="14" style="16" customWidth="1"/>
    <col min="5" max="5" width="15.33203125" style="16" bestFit="1" customWidth="1"/>
    <col min="6" max="6" width="1.6640625" style="17" customWidth="1"/>
    <col min="7" max="7" width="3.5546875" style="16" customWidth="1"/>
    <col min="8" max="16384" width="9.109375" style="16"/>
  </cols>
  <sheetData>
    <row r="1" spans="2:6" ht="16.8" x14ac:dyDescent="0.4">
      <c r="B1" s="208" t="str">
        <f>Encarregado!B1</f>
        <v>MINISTÉRIO DO DESENVOLVIMENTO REGIONAL</v>
      </c>
      <c r="C1" s="209"/>
      <c r="D1" s="209"/>
      <c r="E1" s="210"/>
      <c r="F1" s="15"/>
    </row>
    <row r="2" spans="2:6" ht="18" customHeight="1" x14ac:dyDescent="0.4">
      <c r="B2" s="231" t="s">
        <v>29</v>
      </c>
      <c r="C2" s="232"/>
      <c r="D2" s="232"/>
      <c r="E2" s="233"/>
    </row>
    <row r="3" spans="2:6" ht="15" customHeight="1" x14ac:dyDescent="0.4">
      <c r="B3" s="234"/>
      <c r="C3" s="235"/>
      <c r="D3" s="235"/>
      <c r="E3" s="236"/>
    </row>
    <row r="4" spans="2:6" x14ac:dyDescent="0.4">
      <c r="B4" s="213" t="s">
        <v>30</v>
      </c>
      <c r="C4" s="214"/>
      <c r="D4" s="214"/>
      <c r="E4" s="215"/>
    </row>
    <row r="5" spans="2:6" x14ac:dyDescent="0.4">
      <c r="B5" s="213" t="s">
        <v>85</v>
      </c>
      <c r="C5" s="214"/>
      <c r="D5" s="214"/>
      <c r="E5" s="215"/>
    </row>
    <row r="6" spans="2:6" x14ac:dyDescent="0.4">
      <c r="B6" s="18" t="s">
        <v>6</v>
      </c>
      <c r="C6" s="19" t="s">
        <v>31</v>
      </c>
      <c r="D6" s="247"/>
      <c r="E6" s="248"/>
    </row>
    <row r="7" spans="2:6" x14ac:dyDescent="0.4">
      <c r="B7" s="18" t="s">
        <v>7</v>
      </c>
      <c r="C7" s="19" t="s">
        <v>32</v>
      </c>
      <c r="D7" s="222" t="s">
        <v>34</v>
      </c>
      <c r="E7" s="223"/>
    </row>
    <row r="8" spans="2:6" x14ac:dyDescent="0.4">
      <c r="B8" s="18" t="s">
        <v>9</v>
      </c>
      <c r="C8" s="19" t="s">
        <v>33</v>
      </c>
      <c r="D8" s="222"/>
      <c r="E8" s="223"/>
    </row>
    <row r="9" spans="2:6" x14ac:dyDescent="0.4">
      <c r="B9" s="18" t="s">
        <v>10</v>
      </c>
      <c r="C9" s="19" t="s">
        <v>237</v>
      </c>
      <c r="D9" s="222" t="s">
        <v>43</v>
      </c>
      <c r="E9" s="223"/>
    </row>
    <row r="10" spans="2:6" x14ac:dyDescent="0.4">
      <c r="B10" s="213"/>
      <c r="C10" s="214"/>
      <c r="D10" s="214"/>
      <c r="E10" s="215"/>
    </row>
    <row r="11" spans="2:6" x14ac:dyDescent="0.4">
      <c r="B11" s="18"/>
      <c r="C11" s="19" t="s">
        <v>39</v>
      </c>
      <c r="D11" s="222" t="s">
        <v>306</v>
      </c>
      <c r="E11" s="223"/>
    </row>
    <row r="12" spans="2:6" x14ac:dyDescent="0.4">
      <c r="B12" s="18"/>
      <c r="C12" s="20" t="s">
        <v>40</v>
      </c>
      <c r="D12" s="222"/>
      <c r="E12" s="223"/>
    </row>
    <row r="13" spans="2:6" x14ac:dyDescent="0.4">
      <c r="B13" s="18"/>
      <c r="C13" s="228" t="s">
        <v>323</v>
      </c>
      <c r="D13" s="229"/>
      <c r="E13" s="230"/>
    </row>
    <row r="14" spans="2:6" x14ac:dyDescent="0.4">
      <c r="B14" s="237" t="s">
        <v>0</v>
      </c>
      <c r="C14" s="238"/>
      <c r="D14" s="238"/>
      <c r="E14" s="239"/>
    </row>
    <row r="15" spans="2:6" x14ac:dyDescent="0.4">
      <c r="B15" s="13">
        <v>1</v>
      </c>
      <c r="C15" s="11" t="s">
        <v>1</v>
      </c>
      <c r="D15" s="224" t="str">
        <f>'Salário-Encargos-Benefícios'!C6</f>
        <v>Jauzeiro</v>
      </c>
      <c r="E15" s="225"/>
    </row>
    <row r="16" spans="2:6" x14ac:dyDescent="0.4">
      <c r="B16" s="13">
        <v>2</v>
      </c>
      <c r="C16" s="21" t="s">
        <v>48</v>
      </c>
      <c r="D16" s="242">
        <v>0</v>
      </c>
      <c r="E16" s="243"/>
    </row>
    <row r="17" spans="2:6" x14ac:dyDescent="0.4">
      <c r="B17" s="13">
        <v>3</v>
      </c>
      <c r="C17" s="11" t="s">
        <v>2</v>
      </c>
      <c r="D17" s="226">
        <f>'Salário-Encargos-Benefícios'!D6</f>
        <v>1421.4</v>
      </c>
      <c r="E17" s="227"/>
    </row>
    <row r="18" spans="2:6" x14ac:dyDescent="0.4">
      <c r="B18" s="13">
        <v>4</v>
      </c>
      <c r="C18" s="11" t="s">
        <v>49</v>
      </c>
      <c r="D18" s="224"/>
      <c r="E18" s="225"/>
    </row>
    <row r="19" spans="2:6" x14ac:dyDescent="0.4">
      <c r="B19" s="13">
        <v>5</v>
      </c>
      <c r="C19" s="11" t="s">
        <v>3</v>
      </c>
      <c r="D19" s="224"/>
      <c r="E19" s="225"/>
    </row>
    <row r="20" spans="2:6" x14ac:dyDescent="0.4">
      <c r="B20" s="216" t="s">
        <v>101</v>
      </c>
      <c r="C20" s="217"/>
      <c r="D20" s="217"/>
      <c r="E20" s="218"/>
    </row>
    <row r="21" spans="2:6" ht="12" customHeight="1" x14ac:dyDescent="0.4">
      <c r="B21" s="9">
        <v>1</v>
      </c>
      <c r="C21" s="10" t="s">
        <v>4</v>
      </c>
      <c r="D21" s="22" t="s">
        <v>20</v>
      </c>
      <c r="E21" s="9" t="s">
        <v>5</v>
      </c>
    </row>
    <row r="22" spans="2:6" x14ac:dyDescent="0.4">
      <c r="B22" s="13" t="s">
        <v>6</v>
      </c>
      <c r="C22" s="23" t="s">
        <v>45</v>
      </c>
      <c r="D22" s="24">
        <v>1</v>
      </c>
      <c r="E22" s="25">
        <f>D17</f>
        <v>1421.4</v>
      </c>
    </row>
    <row r="23" spans="2:6" x14ac:dyDescent="0.4">
      <c r="B23" s="13" t="s">
        <v>7</v>
      </c>
      <c r="C23" s="23" t="s">
        <v>8</v>
      </c>
      <c r="D23" s="24">
        <v>0.3</v>
      </c>
      <c r="E23" s="25">
        <f>ROUND((E22*D23),2)</f>
        <v>426.42</v>
      </c>
    </row>
    <row r="24" spans="2:6" x14ac:dyDescent="0.4">
      <c r="B24" s="13" t="s">
        <v>9</v>
      </c>
      <c r="C24" s="23" t="s">
        <v>50</v>
      </c>
      <c r="D24" s="24"/>
      <c r="E24" s="25">
        <f>'Salário-Encargos-Benefícios'!G21</f>
        <v>0</v>
      </c>
    </row>
    <row r="25" spans="2:6" x14ac:dyDescent="0.4">
      <c r="B25" s="13" t="s">
        <v>10</v>
      </c>
      <c r="C25" s="23" t="s">
        <v>12</v>
      </c>
      <c r="D25" s="24"/>
      <c r="E25" s="25">
        <v>0</v>
      </c>
    </row>
    <row r="26" spans="2:6" x14ac:dyDescent="0.4">
      <c r="B26" s="13" t="s">
        <v>11</v>
      </c>
      <c r="C26" s="23" t="s">
        <v>114</v>
      </c>
      <c r="D26" s="24"/>
      <c r="E26" s="26">
        <f>'Salário-Encargos-Benefícios'!G28</f>
        <v>0</v>
      </c>
    </row>
    <row r="27" spans="2:6" x14ac:dyDescent="0.4">
      <c r="B27" s="13" t="s">
        <v>13</v>
      </c>
      <c r="C27" s="23" t="s">
        <v>16</v>
      </c>
      <c r="D27" s="24"/>
      <c r="E27" s="25">
        <v>0</v>
      </c>
    </row>
    <row r="28" spans="2:6" ht="16.8" x14ac:dyDescent="0.4">
      <c r="B28" s="27"/>
      <c r="C28" s="28" t="s">
        <v>28</v>
      </c>
      <c r="D28" s="29">
        <f>SUM(D22:D27)</f>
        <v>1.3</v>
      </c>
      <c r="E28" s="30">
        <f>ROUND(SUM(E22:E27),2)</f>
        <v>1847.82</v>
      </c>
      <c r="F28" s="31"/>
    </row>
    <row r="29" spans="2:6" x14ac:dyDescent="0.4">
      <c r="B29" s="219" t="s">
        <v>51</v>
      </c>
      <c r="C29" s="220"/>
      <c r="D29" s="220"/>
      <c r="E29" s="221"/>
    </row>
    <row r="30" spans="2:6" ht="33" customHeight="1" x14ac:dyDescent="0.4">
      <c r="B30" s="9" t="s">
        <v>52</v>
      </c>
      <c r="C30" s="32" t="s">
        <v>126</v>
      </c>
      <c r="D30" s="33"/>
      <c r="E30" s="9" t="s">
        <v>5</v>
      </c>
    </row>
    <row r="31" spans="2:6" x14ac:dyDescent="0.4">
      <c r="B31" s="13" t="s">
        <v>6</v>
      </c>
      <c r="C31" s="21" t="s">
        <v>53</v>
      </c>
      <c r="D31" s="34">
        <f>'Salário-Encargos-Benefícios'!C12</f>
        <v>8.3299999999999999E-2</v>
      </c>
      <c r="E31" s="35">
        <f>ROUND(($E$28*'Salário-Encargos-Benefícios'!C12),2)</f>
        <v>153.91999999999999</v>
      </c>
    </row>
    <row r="32" spans="2:6" x14ac:dyDescent="0.4">
      <c r="B32" s="13" t="s">
        <v>7</v>
      </c>
      <c r="C32" s="21" t="s">
        <v>124</v>
      </c>
      <c r="D32" s="34">
        <f>'Salário-Encargos-Benefícios'!C13</f>
        <v>2.9766666666666663E-2</v>
      </c>
      <c r="E32" s="35">
        <f>ROUND(($E$28*'Salário-Encargos-Benefícios'!C13),2)</f>
        <v>55</v>
      </c>
    </row>
    <row r="33" spans="2:6" x14ac:dyDescent="0.4">
      <c r="B33" s="13" t="s">
        <v>9</v>
      </c>
      <c r="C33" s="21" t="s">
        <v>119</v>
      </c>
      <c r="D33" s="34">
        <f>(D31+D32)*D45</f>
        <v>4.1608533333333336E-2</v>
      </c>
      <c r="E33" s="35">
        <f>ROUND(((E31+E32)*D45),2)</f>
        <v>76.88</v>
      </c>
    </row>
    <row r="34" spans="2:6" ht="16.8" x14ac:dyDescent="0.4">
      <c r="B34" s="27"/>
      <c r="C34" s="32" t="s">
        <v>28</v>
      </c>
      <c r="D34" s="36">
        <f>SUM(D31:D33)</f>
        <v>0.15467520000000001</v>
      </c>
      <c r="E34" s="37">
        <f>ROUND(SUM(E31:E33),2)</f>
        <v>285.8</v>
      </c>
    </row>
    <row r="35" spans="2:6" x14ac:dyDescent="0.4">
      <c r="B35" s="13"/>
      <c r="C35" s="21"/>
      <c r="D35" s="38"/>
      <c r="E35" s="39"/>
    </row>
    <row r="36" spans="2:6" ht="31.2" x14ac:dyDescent="0.4">
      <c r="B36" s="9" t="s">
        <v>54</v>
      </c>
      <c r="C36" s="40" t="s">
        <v>55</v>
      </c>
      <c r="D36" s="22" t="s">
        <v>20</v>
      </c>
      <c r="E36" s="9" t="s">
        <v>5</v>
      </c>
      <c r="F36" s="31"/>
    </row>
    <row r="37" spans="2:6" x14ac:dyDescent="0.4">
      <c r="B37" s="13" t="s">
        <v>6</v>
      </c>
      <c r="C37" s="23" t="s">
        <v>36</v>
      </c>
      <c r="D37" s="24">
        <f>'Salário-Encargos-Benefícios'!C17</f>
        <v>0.2</v>
      </c>
      <c r="E37" s="41">
        <f>ROUND(($E$28*'Salário-Encargos-Benefícios'!C17),2)</f>
        <v>369.56</v>
      </c>
    </row>
    <row r="38" spans="2:6" x14ac:dyDescent="0.4">
      <c r="B38" s="13" t="s">
        <v>7</v>
      </c>
      <c r="C38" s="23" t="s">
        <v>88</v>
      </c>
      <c r="D38" s="24">
        <f>'Salário-Encargos-Benefícios'!C18</f>
        <v>2.5000000000000001E-2</v>
      </c>
      <c r="E38" s="41">
        <f>ROUND(($E$28*'Salário-Encargos-Benefícios'!C18),2)</f>
        <v>46.2</v>
      </c>
    </row>
    <row r="39" spans="2:6" x14ac:dyDescent="0.4">
      <c r="B39" s="13" t="s">
        <v>9</v>
      </c>
      <c r="C39" s="23" t="s">
        <v>56</v>
      </c>
      <c r="D39" s="24">
        <f>'Salário-Encargos-Benefícios'!C19</f>
        <v>0.03</v>
      </c>
      <c r="E39" s="41">
        <f>ROUND(($E$28*'Salário-Encargos-Benefícios'!C19),2)</f>
        <v>55.43</v>
      </c>
    </row>
    <row r="40" spans="2:6" x14ac:dyDescent="0.4">
      <c r="B40" s="13" t="s">
        <v>10</v>
      </c>
      <c r="C40" s="23" t="s">
        <v>57</v>
      </c>
      <c r="D40" s="24">
        <f>'Salário-Encargos-Benefícios'!C20</f>
        <v>1.4999999999999999E-2</v>
      </c>
      <c r="E40" s="41">
        <f>ROUND(($E$28*'Salário-Encargos-Benefícios'!C20),2)</f>
        <v>27.72</v>
      </c>
    </row>
    <row r="41" spans="2:6" x14ac:dyDescent="0.4">
      <c r="B41" s="13" t="s">
        <v>11</v>
      </c>
      <c r="C41" s="23" t="s">
        <v>58</v>
      </c>
      <c r="D41" s="24">
        <f>'Salário-Encargos-Benefícios'!C21</f>
        <v>0.01</v>
      </c>
      <c r="E41" s="41">
        <f>ROUND(($E$28*'Salário-Encargos-Benefícios'!C21),2)</f>
        <v>18.48</v>
      </c>
    </row>
    <row r="42" spans="2:6" x14ac:dyDescent="0.4">
      <c r="B42" s="13" t="s">
        <v>13</v>
      </c>
      <c r="C42" s="23" t="s">
        <v>38</v>
      </c>
      <c r="D42" s="24">
        <f>'Salário-Encargos-Benefícios'!C22</f>
        <v>6.0000000000000001E-3</v>
      </c>
      <c r="E42" s="41">
        <f>ROUND(($E$28*'Salário-Encargos-Benefícios'!C22),2)</f>
        <v>11.09</v>
      </c>
    </row>
    <row r="43" spans="2:6" x14ac:dyDescent="0.4">
      <c r="B43" s="13" t="s">
        <v>14</v>
      </c>
      <c r="C43" s="23" t="s">
        <v>37</v>
      </c>
      <c r="D43" s="24">
        <f>'Salário-Encargos-Benefícios'!C23</f>
        <v>2E-3</v>
      </c>
      <c r="E43" s="41">
        <f>ROUND(($E$28*'Salário-Encargos-Benefícios'!C23),2)</f>
        <v>3.7</v>
      </c>
    </row>
    <row r="44" spans="2:6" x14ac:dyDescent="0.4">
      <c r="B44" s="13" t="s">
        <v>15</v>
      </c>
      <c r="C44" s="23" t="s">
        <v>59</v>
      </c>
      <c r="D44" s="24">
        <f>'Salário-Encargos-Benefícios'!C24</f>
        <v>0.08</v>
      </c>
      <c r="E44" s="41">
        <f>ROUND(($E$28*'Salário-Encargos-Benefícios'!C24),2)</f>
        <v>147.83000000000001</v>
      </c>
    </row>
    <row r="45" spans="2:6" x14ac:dyDescent="0.4">
      <c r="B45" s="211" t="s">
        <v>44</v>
      </c>
      <c r="C45" s="212"/>
      <c r="D45" s="42">
        <f>SUM(D37:D44)</f>
        <v>0.36800000000000005</v>
      </c>
      <c r="E45" s="43">
        <f>ROUND(SUM(E37:E44),2)</f>
        <v>680.01</v>
      </c>
    </row>
    <row r="46" spans="2:6" ht="11.1" customHeight="1" x14ac:dyDescent="0.4">
      <c r="B46" s="13"/>
      <c r="C46" s="23"/>
      <c r="D46" s="44"/>
      <c r="E46" s="39"/>
    </row>
    <row r="47" spans="2:6" x14ac:dyDescent="0.4">
      <c r="B47" s="9" t="s">
        <v>60</v>
      </c>
      <c r="C47" s="234" t="s">
        <v>61</v>
      </c>
      <c r="D47" s="236"/>
      <c r="E47" s="9" t="s">
        <v>5</v>
      </c>
    </row>
    <row r="48" spans="2:6" x14ac:dyDescent="0.4">
      <c r="B48" s="13" t="s">
        <v>6</v>
      </c>
      <c r="C48" s="240" t="s">
        <v>130</v>
      </c>
      <c r="D48" s="241"/>
      <c r="E48" s="25">
        <f>ROUND(('Salário-Encargos-Benefícios'!$C$49*21)-(0.06*Jauzeiro!E22),2)</f>
        <v>124.72</v>
      </c>
    </row>
    <row r="49" spans="2:6" x14ac:dyDescent="0.4">
      <c r="B49" s="13" t="s">
        <v>7</v>
      </c>
      <c r="C49" s="240" t="s">
        <v>131</v>
      </c>
      <c r="D49" s="241"/>
      <c r="E49" s="25">
        <f>ROUND(('Salário-Encargos-Benefícios'!C52*21),2)</f>
        <v>693</v>
      </c>
    </row>
    <row r="50" spans="2:6" ht="18.75" customHeight="1" x14ac:dyDescent="0.4">
      <c r="B50" s="13" t="s">
        <v>9</v>
      </c>
      <c r="C50" s="240" t="s">
        <v>117</v>
      </c>
      <c r="D50" s="241"/>
      <c r="E50" s="25">
        <f>'Salário-Encargos-Benefícios'!C53</f>
        <v>0</v>
      </c>
    </row>
    <row r="51" spans="2:6" x14ac:dyDescent="0.4">
      <c r="B51" s="13" t="s">
        <v>10</v>
      </c>
      <c r="C51" s="240" t="s">
        <v>115</v>
      </c>
      <c r="D51" s="241"/>
      <c r="E51" s="25">
        <f>'Salário-Encargos-Benefícios'!C55</f>
        <v>0</v>
      </c>
    </row>
    <row r="52" spans="2:6" ht="16.5" customHeight="1" x14ac:dyDescent="0.4">
      <c r="B52" s="13" t="s">
        <v>11</v>
      </c>
      <c r="C52" s="240" t="s">
        <v>118</v>
      </c>
      <c r="D52" s="241"/>
      <c r="E52" s="25">
        <f>'Salário-Encargos-Benefícios'!C56</f>
        <v>2</v>
      </c>
    </row>
    <row r="53" spans="2:6" x14ac:dyDescent="0.4">
      <c r="B53" s="13" t="s">
        <v>14</v>
      </c>
      <c r="C53" s="240" t="s">
        <v>16</v>
      </c>
      <c r="D53" s="241"/>
      <c r="E53" s="25">
        <f>'Salário-Encargos-Benefícios'!C57</f>
        <v>0</v>
      </c>
    </row>
    <row r="54" spans="2:6" ht="16.8" x14ac:dyDescent="0.4">
      <c r="B54" s="27"/>
      <c r="C54" s="32" t="s">
        <v>35</v>
      </c>
      <c r="D54" s="33"/>
      <c r="E54" s="37">
        <f>ROUND(SUM(E48:E53),2)</f>
        <v>819.72</v>
      </c>
      <c r="F54" s="31"/>
    </row>
    <row r="55" spans="2:6" x14ac:dyDescent="0.4">
      <c r="B55" s="237"/>
      <c r="C55" s="238"/>
      <c r="D55" s="238"/>
      <c r="E55" s="239"/>
      <c r="F55" s="31"/>
    </row>
    <row r="56" spans="2:6" ht="32.25" customHeight="1" x14ac:dyDescent="0.4">
      <c r="B56" s="9">
        <v>2</v>
      </c>
      <c r="C56" s="234" t="s">
        <v>62</v>
      </c>
      <c r="D56" s="236"/>
      <c r="E56" s="9" t="s">
        <v>5</v>
      </c>
      <c r="F56" s="31"/>
    </row>
    <row r="57" spans="2:6" x14ac:dyDescent="0.4">
      <c r="B57" s="13" t="s">
        <v>52</v>
      </c>
      <c r="C57" s="21" t="s">
        <v>126</v>
      </c>
      <c r="D57" s="38"/>
      <c r="E57" s="39">
        <f>E34</f>
        <v>285.8</v>
      </c>
      <c r="F57" s="31"/>
    </row>
    <row r="58" spans="2:6" x14ac:dyDescent="0.4">
      <c r="B58" s="13" t="s">
        <v>54</v>
      </c>
      <c r="C58" s="21" t="s">
        <v>63</v>
      </c>
      <c r="D58" s="38"/>
      <c r="E58" s="39">
        <f>E45</f>
        <v>680.01</v>
      </c>
      <c r="F58" s="31"/>
    </row>
    <row r="59" spans="2:6" x14ac:dyDescent="0.4">
      <c r="B59" s="13" t="s">
        <v>60</v>
      </c>
      <c r="C59" s="21" t="s">
        <v>61</v>
      </c>
      <c r="D59" s="38"/>
      <c r="E59" s="39">
        <f>E54</f>
        <v>819.72</v>
      </c>
      <c r="F59" s="31"/>
    </row>
    <row r="60" spans="2:6" ht="16.8" x14ac:dyDescent="0.4">
      <c r="B60" s="27"/>
      <c r="C60" s="32" t="s">
        <v>35</v>
      </c>
      <c r="D60" s="33"/>
      <c r="E60" s="37">
        <f>SUM(E57:E59)</f>
        <v>1785.53</v>
      </c>
      <c r="F60" s="31"/>
    </row>
    <row r="61" spans="2:6" ht="16.8" x14ac:dyDescent="0.4">
      <c r="B61" s="244"/>
      <c r="C61" s="245"/>
      <c r="D61" s="245"/>
      <c r="E61" s="246"/>
      <c r="F61" s="31"/>
    </row>
    <row r="62" spans="2:6" x14ac:dyDescent="0.4">
      <c r="B62" s="219" t="s">
        <v>68</v>
      </c>
      <c r="C62" s="220"/>
      <c r="D62" s="220"/>
      <c r="E62" s="221"/>
    </row>
    <row r="63" spans="2:6" x14ac:dyDescent="0.4">
      <c r="B63" s="9">
        <v>3</v>
      </c>
      <c r="C63" s="234" t="s">
        <v>41</v>
      </c>
      <c r="D63" s="236"/>
      <c r="E63" s="9" t="s">
        <v>5</v>
      </c>
      <c r="F63" s="31"/>
    </row>
    <row r="64" spans="2:6" x14ac:dyDescent="0.4">
      <c r="B64" s="13" t="s">
        <v>6</v>
      </c>
      <c r="C64" s="240" t="s">
        <v>22</v>
      </c>
      <c r="D64" s="241"/>
      <c r="E64" s="41">
        <f>ROUND(($E$28*'Salário-Encargos-Benefícios'!C27),2)</f>
        <v>7.7</v>
      </c>
    </row>
    <row r="65" spans="2:6" x14ac:dyDescent="0.4">
      <c r="B65" s="13" t="s">
        <v>7</v>
      </c>
      <c r="C65" s="240" t="s">
        <v>64</v>
      </c>
      <c r="D65" s="241"/>
      <c r="E65" s="41">
        <f>ROUND(($E$28*'Salário-Encargos-Benefícios'!C28),2)</f>
        <v>0.62</v>
      </c>
    </row>
    <row r="66" spans="2:6" x14ac:dyDescent="0.4">
      <c r="B66" s="13" t="s">
        <v>9</v>
      </c>
      <c r="C66" s="240" t="s">
        <v>65</v>
      </c>
      <c r="D66" s="241"/>
      <c r="E66" s="41">
        <f>ROUND(($E$28*'Salário-Encargos-Benefícios'!C29),2)</f>
        <v>0</v>
      </c>
    </row>
    <row r="67" spans="2:6" x14ac:dyDescent="0.4">
      <c r="B67" s="13" t="s">
        <v>10</v>
      </c>
      <c r="C67" s="240" t="s">
        <v>23</v>
      </c>
      <c r="D67" s="241"/>
      <c r="E67" s="41">
        <f>ROUND(($E$28*'Salário-Encargos-Benefícios'!C30),2)</f>
        <v>35.93</v>
      </c>
    </row>
    <row r="68" spans="2:6" x14ac:dyDescent="0.4">
      <c r="B68" s="13" t="s">
        <v>11</v>
      </c>
      <c r="C68" s="240" t="s">
        <v>66</v>
      </c>
      <c r="D68" s="241"/>
      <c r="E68" s="45">
        <f>ROUND(($E$28*'Salário-Encargos-Benefícios'!C31),2)</f>
        <v>13.22</v>
      </c>
    </row>
    <row r="69" spans="2:6" x14ac:dyDescent="0.4">
      <c r="B69" s="13" t="s">
        <v>13</v>
      </c>
      <c r="C69" s="240" t="s">
        <v>67</v>
      </c>
      <c r="D69" s="241"/>
      <c r="E69" s="45">
        <f>ROUND(($E$28*'Salário-Encargos-Benefícios'!C32),2)</f>
        <v>92.39</v>
      </c>
    </row>
    <row r="70" spans="2:6" x14ac:dyDescent="0.4">
      <c r="B70" s="234" t="s">
        <v>44</v>
      </c>
      <c r="C70" s="235"/>
      <c r="D70" s="236"/>
      <c r="E70" s="43">
        <f>ROUND(SUM(E64:E69),2)</f>
        <v>149.86000000000001</v>
      </c>
      <c r="F70" s="31"/>
    </row>
    <row r="71" spans="2:6" x14ac:dyDescent="0.4">
      <c r="B71" s="237"/>
      <c r="C71" s="238"/>
      <c r="D71" s="238"/>
      <c r="E71" s="239"/>
      <c r="F71" s="31"/>
    </row>
    <row r="72" spans="2:6" x14ac:dyDescent="0.4">
      <c r="B72" s="219" t="s">
        <v>69</v>
      </c>
      <c r="C72" s="220"/>
      <c r="D72" s="220"/>
      <c r="E72" s="221"/>
      <c r="F72" s="31"/>
    </row>
    <row r="73" spans="2:6" x14ac:dyDescent="0.4">
      <c r="B73" s="9" t="s">
        <v>19</v>
      </c>
      <c r="C73" s="234" t="s">
        <v>70</v>
      </c>
      <c r="D73" s="236"/>
      <c r="E73" s="9" t="s">
        <v>5</v>
      </c>
      <c r="F73" s="31"/>
    </row>
    <row r="74" spans="2:6" x14ac:dyDescent="0.4">
      <c r="B74" s="13" t="s">
        <v>6</v>
      </c>
      <c r="C74" s="21" t="s">
        <v>125</v>
      </c>
      <c r="D74" s="38"/>
      <c r="E74" s="46">
        <f>ROUND(($E$28*'Salário-Encargos-Benefícios'!C36),2)</f>
        <v>167.97</v>
      </c>
      <c r="F74" s="31"/>
    </row>
    <row r="75" spans="2:6" x14ac:dyDescent="0.4">
      <c r="B75" s="13" t="s">
        <v>7</v>
      </c>
      <c r="C75" s="21" t="s">
        <v>70</v>
      </c>
      <c r="D75" s="38"/>
      <c r="E75" s="46">
        <f>ROUND(($E$28*'Salário-Encargos-Benefícios'!C37),2)</f>
        <v>30.8</v>
      </c>
      <c r="F75" s="31"/>
    </row>
    <row r="76" spans="2:6" x14ac:dyDescent="0.4">
      <c r="B76" s="13" t="s">
        <v>9</v>
      </c>
      <c r="C76" s="240" t="s">
        <v>71</v>
      </c>
      <c r="D76" s="241"/>
      <c r="E76" s="46">
        <f>ROUND(($E$28*'Salário-Encargos-Benefícios'!C38),2)</f>
        <v>0.36</v>
      </c>
      <c r="F76" s="31"/>
    </row>
    <row r="77" spans="2:6" x14ac:dyDescent="0.4">
      <c r="B77" s="13" t="s">
        <v>10</v>
      </c>
      <c r="C77" s="240" t="s">
        <v>72</v>
      </c>
      <c r="D77" s="241"/>
      <c r="E77" s="46">
        <f>ROUND(($E$28*'Salário-Encargos-Benefícios'!C39),2)</f>
        <v>1.89</v>
      </c>
      <c r="F77" s="31"/>
    </row>
    <row r="78" spans="2:6" x14ac:dyDescent="0.4">
      <c r="B78" s="13" t="s">
        <v>11</v>
      </c>
      <c r="C78" s="240" t="s">
        <v>42</v>
      </c>
      <c r="D78" s="241"/>
      <c r="E78" s="46">
        <f>ROUND(($E$28*'Salário-Encargos-Benefícios'!C40),2)</f>
        <v>0.89</v>
      </c>
      <c r="F78" s="31"/>
    </row>
    <row r="79" spans="2:6" ht="30" customHeight="1" x14ac:dyDescent="0.4">
      <c r="B79" s="13" t="s">
        <v>13</v>
      </c>
      <c r="C79" s="240" t="s">
        <v>120</v>
      </c>
      <c r="D79" s="241"/>
      <c r="E79" s="47">
        <f>ROUND((SUM(E74:E78)*D45),2)</f>
        <v>74.3</v>
      </c>
      <c r="F79" s="31"/>
    </row>
    <row r="80" spans="2:6" x14ac:dyDescent="0.4">
      <c r="B80" s="234" t="s">
        <v>44</v>
      </c>
      <c r="C80" s="235"/>
      <c r="D80" s="236"/>
      <c r="E80" s="43">
        <f>ROUND(SUM(E74:E79),2)</f>
        <v>276.20999999999998</v>
      </c>
      <c r="F80" s="31"/>
    </row>
    <row r="81" spans="2:6" x14ac:dyDescent="0.4">
      <c r="B81" s="237"/>
      <c r="C81" s="238"/>
      <c r="D81" s="238"/>
      <c r="E81" s="239"/>
      <c r="F81" s="31"/>
    </row>
    <row r="82" spans="2:6" x14ac:dyDescent="0.4">
      <c r="B82" s="9" t="s">
        <v>21</v>
      </c>
      <c r="C82" s="234" t="s">
        <v>73</v>
      </c>
      <c r="D82" s="236"/>
      <c r="E82" s="9" t="s">
        <v>5</v>
      </c>
      <c r="F82" s="31"/>
    </row>
    <row r="83" spans="2:6" x14ac:dyDescent="0.4">
      <c r="B83" s="13" t="s">
        <v>6</v>
      </c>
      <c r="C83" s="21" t="s">
        <v>74</v>
      </c>
      <c r="D83" s="38"/>
      <c r="E83" s="39">
        <v>0</v>
      </c>
      <c r="F83" s="31"/>
    </row>
    <row r="84" spans="2:6" x14ac:dyDescent="0.4">
      <c r="B84" s="237"/>
      <c r="C84" s="238"/>
      <c r="D84" s="238"/>
      <c r="E84" s="239"/>
      <c r="F84" s="31"/>
    </row>
    <row r="85" spans="2:6" ht="29.25" customHeight="1" x14ac:dyDescent="0.4">
      <c r="B85" s="9">
        <v>4</v>
      </c>
      <c r="C85" s="234" t="s">
        <v>75</v>
      </c>
      <c r="D85" s="236"/>
      <c r="E85" s="9" t="s">
        <v>5</v>
      </c>
      <c r="F85" s="31"/>
    </row>
    <row r="86" spans="2:6" x14ac:dyDescent="0.4">
      <c r="B86" s="13" t="s">
        <v>19</v>
      </c>
      <c r="C86" s="21" t="s">
        <v>76</v>
      </c>
      <c r="D86" s="38"/>
      <c r="E86" s="39">
        <f>E80</f>
        <v>276.20999999999998</v>
      </c>
      <c r="F86" s="31"/>
    </row>
    <row r="87" spans="2:6" x14ac:dyDescent="0.4">
      <c r="B87" s="13" t="s">
        <v>21</v>
      </c>
      <c r="C87" s="21" t="s">
        <v>73</v>
      </c>
      <c r="D87" s="38"/>
      <c r="E87" s="39">
        <f>E83</f>
        <v>0</v>
      </c>
      <c r="F87" s="31"/>
    </row>
    <row r="88" spans="2:6" x14ac:dyDescent="0.4">
      <c r="B88" s="32"/>
      <c r="C88" s="235" t="s">
        <v>77</v>
      </c>
      <c r="D88" s="236"/>
      <c r="E88" s="43">
        <f>ROUND(SUM(E86:E87),2)</f>
        <v>276.20999999999998</v>
      </c>
      <c r="F88" s="31"/>
    </row>
    <row r="89" spans="2:6" x14ac:dyDescent="0.4">
      <c r="B89" s="219" t="s">
        <v>78</v>
      </c>
      <c r="C89" s="220"/>
      <c r="D89" s="220"/>
      <c r="E89" s="221"/>
    </row>
    <row r="90" spans="2:6" x14ac:dyDescent="0.4">
      <c r="B90" s="9">
        <v>5</v>
      </c>
      <c r="C90" s="234" t="s">
        <v>17</v>
      </c>
      <c r="D90" s="236"/>
      <c r="E90" s="9" t="s">
        <v>5</v>
      </c>
    </row>
    <row r="91" spans="2:6" x14ac:dyDescent="0.4">
      <c r="B91" s="13" t="s">
        <v>6</v>
      </c>
      <c r="C91" s="240" t="s">
        <v>18</v>
      </c>
      <c r="D91" s="241"/>
      <c r="E91" s="39">
        <f>Uniformes!F22</f>
        <v>35.626666666666665</v>
      </c>
    </row>
    <row r="92" spans="2:6" x14ac:dyDescent="0.4">
      <c r="B92" s="13" t="s">
        <v>7</v>
      </c>
      <c r="C92" s="240" t="s">
        <v>135</v>
      </c>
      <c r="D92" s="241"/>
      <c r="E92" s="39"/>
    </row>
    <row r="93" spans="2:6" x14ac:dyDescent="0.4">
      <c r="B93" s="13" t="s">
        <v>9</v>
      </c>
      <c r="C93" s="69" t="s">
        <v>136</v>
      </c>
      <c r="D93" s="70"/>
      <c r="E93" s="39"/>
    </row>
    <row r="94" spans="2:6" x14ac:dyDescent="0.4">
      <c r="B94" s="13" t="s">
        <v>10</v>
      </c>
      <c r="C94" s="240" t="s">
        <v>16</v>
      </c>
      <c r="D94" s="241"/>
      <c r="E94" s="39"/>
    </row>
    <row r="95" spans="2:6" ht="16.5" customHeight="1" x14ac:dyDescent="0.4">
      <c r="B95" s="234" t="s">
        <v>44</v>
      </c>
      <c r="C95" s="235"/>
      <c r="D95" s="236"/>
      <c r="E95" s="43">
        <f>ROUND(SUM(E91:E94),2)</f>
        <v>35.630000000000003</v>
      </c>
      <c r="F95" s="31"/>
    </row>
    <row r="96" spans="2:6" ht="16.8" x14ac:dyDescent="0.4">
      <c r="B96" s="255"/>
      <c r="C96" s="256"/>
      <c r="D96" s="256"/>
      <c r="E96" s="257"/>
    </row>
    <row r="97" spans="2:9" x14ac:dyDescent="0.4">
      <c r="B97" s="216" t="s">
        <v>121</v>
      </c>
      <c r="C97" s="217"/>
      <c r="D97" s="217"/>
      <c r="E97" s="218"/>
    </row>
    <row r="98" spans="2:9" x14ac:dyDescent="0.4">
      <c r="B98" s="9">
        <v>6</v>
      </c>
      <c r="C98" s="40" t="s">
        <v>24</v>
      </c>
      <c r="D98" s="22" t="s">
        <v>20</v>
      </c>
      <c r="E98" s="9" t="s">
        <v>5</v>
      </c>
    </row>
    <row r="99" spans="2:9" x14ac:dyDescent="0.4">
      <c r="B99" s="13" t="s">
        <v>6</v>
      </c>
      <c r="C99" s="23" t="s">
        <v>25</v>
      </c>
      <c r="D99" s="48">
        <f>Encarregado!D100</f>
        <v>0.03</v>
      </c>
      <c r="E99" s="49">
        <f>ROUND((E117)*(D99),2)</f>
        <v>122.85</v>
      </c>
    </row>
    <row r="100" spans="2:9" x14ac:dyDescent="0.4">
      <c r="B100" s="13" t="s">
        <v>7</v>
      </c>
      <c r="C100" s="23" t="s">
        <v>27</v>
      </c>
      <c r="D100" s="48">
        <f>Encarregado!D101</f>
        <v>6.7900000000000002E-2</v>
      </c>
      <c r="E100" s="49">
        <f>ROUND((E99+E117)*(D100),2)</f>
        <v>286.39999999999998</v>
      </c>
    </row>
    <row r="101" spans="2:9" x14ac:dyDescent="0.4">
      <c r="B101" s="13" t="s">
        <v>9</v>
      </c>
      <c r="C101" s="23" t="s">
        <v>26</v>
      </c>
      <c r="D101" s="50"/>
      <c r="E101" s="49"/>
    </row>
    <row r="102" spans="2:9" x14ac:dyDescent="0.4">
      <c r="B102" s="11"/>
      <c r="C102" s="40" t="s">
        <v>82</v>
      </c>
      <c r="D102" s="50"/>
      <c r="E102" s="51"/>
    </row>
    <row r="103" spans="2:9" x14ac:dyDescent="0.4">
      <c r="B103" s="11"/>
      <c r="C103" s="23" t="s">
        <v>83</v>
      </c>
      <c r="D103" s="50">
        <v>1.6500000000000001E-2</v>
      </c>
      <c r="E103" s="49">
        <f>ROUND((E119*D103),2)</f>
        <v>86.67</v>
      </c>
    </row>
    <row r="104" spans="2:9" x14ac:dyDescent="0.4">
      <c r="B104" s="11"/>
      <c r="C104" s="23" t="s">
        <v>84</v>
      </c>
      <c r="D104" s="50">
        <v>7.5999999999999998E-2</v>
      </c>
      <c r="E104" s="49">
        <f>ROUND((E119*D104),2)</f>
        <v>399.22</v>
      </c>
    </row>
    <row r="105" spans="2:9" x14ac:dyDescent="0.4">
      <c r="B105" s="11"/>
      <c r="C105" s="40" t="s">
        <v>100</v>
      </c>
      <c r="D105" s="50"/>
      <c r="E105" s="49"/>
    </row>
    <row r="106" spans="2:9" x14ac:dyDescent="0.4">
      <c r="B106" s="11"/>
      <c r="C106" s="23" t="s">
        <v>98</v>
      </c>
      <c r="D106" s="50">
        <v>0.05</v>
      </c>
      <c r="E106" s="49">
        <f>ROUND((E119*D106),2)</f>
        <v>262.64</v>
      </c>
    </row>
    <row r="107" spans="2:9" x14ac:dyDescent="0.4">
      <c r="B107" s="11"/>
      <c r="C107" s="40" t="s">
        <v>99</v>
      </c>
      <c r="D107" s="50"/>
      <c r="E107" s="51"/>
    </row>
    <row r="108" spans="2:9" x14ac:dyDescent="0.4">
      <c r="B108" s="234" t="s">
        <v>44</v>
      </c>
      <c r="C108" s="236"/>
      <c r="D108" s="52">
        <f>SUM(D99:D107)</f>
        <v>0.2404</v>
      </c>
      <c r="E108" s="53">
        <f>ROUND(SUM(E99:E107),2)</f>
        <v>1157.78</v>
      </c>
      <c r="F108" s="31"/>
    </row>
    <row r="109" spans="2:9" ht="16.8" x14ac:dyDescent="0.4">
      <c r="B109" s="255"/>
      <c r="C109" s="256"/>
      <c r="D109" s="256"/>
      <c r="E109" s="257"/>
    </row>
    <row r="110" spans="2:9" x14ac:dyDescent="0.4">
      <c r="B110" s="219" t="s">
        <v>79</v>
      </c>
      <c r="C110" s="220"/>
      <c r="D110" s="220"/>
      <c r="E110" s="221"/>
    </row>
    <row r="111" spans="2:9" ht="36" customHeight="1" x14ac:dyDescent="0.4">
      <c r="B111" s="54"/>
      <c r="C111" s="32" t="s">
        <v>122</v>
      </c>
      <c r="D111" s="55" t="s">
        <v>123</v>
      </c>
      <c r="E111" s="9" t="s">
        <v>5</v>
      </c>
      <c r="F111" s="56"/>
      <c r="G111" s="57"/>
      <c r="I111" s="17"/>
    </row>
    <row r="112" spans="2:9" x14ac:dyDescent="0.4">
      <c r="B112" s="13" t="s">
        <v>6</v>
      </c>
      <c r="C112" s="23" t="s">
        <v>95</v>
      </c>
      <c r="D112" s="58">
        <f>(E112/$E$119)</f>
        <v>0.35177609022184231</v>
      </c>
      <c r="E112" s="39">
        <f>E28</f>
        <v>1847.82</v>
      </c>
      <c r="F112" s="59"/>
    </row>
    <row r="113" spans="2:6" x14ac:dyDescent="0.4">
      <c r="B113" s="13" t="s">
        <v>7</v>
      </c>
      <c r="C113" s="23" t="s">
        <v>96</v>
      </c>
      <c r="D113" s="58">
        <f>(E113/$E$119)</f>
        <v>0.33991772054302155</v>
      </c>
      <c r="E113" s="39">
        <f>E60</f>
        <v>1785.53</v>
      </c>
      <c r="F113" s="59"/>
    </row>
    <row r="114" spans="2:6" x14ac:dyDescent="0.4">
      <c r="B114" s="13" t="s">
        <v>9</v>
      </c>
      <c r="C114" s="23" t="s">
        <v>97</v>
      </c>
      <c r="D114" s="58">
        <f>(E114/$E$119)</f>
        <v>2.8529383208670378E-2</v>
      </c>
      <c r="E114" s="39">
        <f>E70</f>
        <v>149.86000000000001</v>
      </c>
      <c r="F114" s="23"/>
    </row>
    <row r="115" spans="2:6" x14ac:dyDescent="0.4">
      <c r="B115" s="13" t="s">
        <v>10</v>
      </c>
      <c r="C115" s="60" t="s">
        <v>80</v>
      </c>
      <c r="D115" s="58">
        <f>(E115/$E$119)</f>
        <v>5.2583083785311915E-2</v>
      </c>
      <c r="E115" s="39">
        <f>E88</f>
        <v>276.20999999999998</v>
      </c>
      <c r="F115" s="59"/>
    </row>
    <row r="116" spans="2:6" x14ac:dyDescent="0.4">
      <c r="B116" s="13" t="s">
        <v>11</v>
      </c>
      <c r="C116" s="23" t="s">
        <v>94</v>
      </c>
      <c r="D116" s="58">
        <f>(E116/$E$119)</f>
        <v>6.7830103011138759E-3</v>
      </c>
      <c r="E116" s="39">
        <f>E95</f>
        <v>35.630000000000003</v>
      </c>
      <c r="F116" s="23"/>
    </row>
    <row r="117" spans="2:6" x14ac:dyDescent="0.4">
      <c r="B117" s="252" t="s">
        <v>133</v>
      </c>
      <c r="C117" s="253"/>
      <c r="D117" s="254"/>
      <c r="E117" s="61">
        <f>ROUND(SUM(E112:E116),2)</f>
        <v>4095.05</v>
      </c>
    </row>
    <row r="118" spans="2:6" x14ac:dyDescent="0.4">
      <c r="B118" s="13" t="s">
        <v>13</v>
      </c>
      <c r="C118" s="60" t="s">
        <v>81</v>
      </c>
      <c r="D118" s="58">
        <f>(E118/$E$119)</f>
        <v>0.22041071194003994</v>
      </c>
      <c r="E118" s="62">
        <f>E108</f>
        <v>1157.78</v>
      </c>
      <c r="F118" s="59"/>
    </row>
    <row r="119" spans="2:6" ht="15.75" customHeight="1" x14ac:dyDescent="0.4">
      <c r="B119" s="234" t="s">
        <v>128</v>
      </c>
      <c r="C119" s="235"/>
      <c r="D119" s="236"/>
      <c r="E119" s="63">
        <f>ROUND((E99+E100+E117)/(1-SUM(D103+D104+D106)),2)</f>
        <v>5252.83</v>
      </c>
      <c r="F119" s="31"/>
    </row>
    <row r="120" spans="2:6" ht="16.8" x14ac:dyDescent="0.4">
      <c r="B120" s="64"/>
      <c r="C120" s="65"/>
      <c r="D120" s="65"/>
      <c r="E120" s="66"/>
    </row>
    <row r="121" spans="2:6" x14ac:dyDescent="0.4">
      <c r="B121" s="249"/>
      <c r="C121" s="250"/>
      <c r="D121" s="250"/>
      <c r="E121" s="251"/>
    </row>
    <row r="122" spans="2:6" x14ac:dyDescent="0.4">
      <c r="E122" s="67"/>
    </row>
    <row r="123" spans="2:6" x14ac:dyDescent="0.4">
      <c r="E123" s="68"/>
    </row>
  </sheetData>
  <mergeCells count="68">
    <mergeCell ref="B119:D119"/>
    <mergeCell ref="B121:E121"/>
    <mergeCell ref="B96:E96"/>
    <mergeCell ref="B97:E97"/>
    <mergeCell ref="B108:C108"/>
    <mergeCell ref="B109:E109"/>
    <mergeCell ref="B110:E110"/>
    <mergeCell ref="B117:D117"/>
    <mergeCell ref="B95:D95"/>
    <mergeCell ref="B80:D80"/>
    <mergeCell ref="B81:E81"/>
    <mergeCell ref="C82:D82"/>
    <mergeCell ref="B84:E84"/>
    <mergeCell ref="C85:D85"/>
    <mergeCell ref="C88:D88"/>
    <mergeCell ref="B89:E89"/>
    <mergeCell ref="C90:D90"/>
    <mergeCell ref="C91:D91"/>
    <mergeCell ref="C92:D92"/>
    <mergeCell ref="C94:D94"/>
    <mergeCell ref="C79:D79"/>
    <mergeCell ref="C66:D66"/>
    <mergeCell ref="C67:D67"/>
    <mergeCell ref="C68:D68"/>
    <mergeCell ref="C69:D69"/>
    <mergeCell ref="B70:D70"/>
    <mergeCell ref="B71:E71"/>
    <mergeCell ref="B72:E72"/>
    <mergeCell ref="C73:D73"/>
    <mergeCell ref="C76:D76"/>
    <mergeCell ref="C77:D77"/>
    <mergeCell ref="C78:D78"/>
    <mergeCell ref="C65:D65"/>
    <mergeCell ref="C49:D49"/>
    <mergeCell ref="C50:D50"/>
    <mergeCell ref="C51:D51"/>
    <mergeCell ref="C52:D52"/>
    <mergeCell ref="C53:D53"/>
    <mergeCell ref="B55:E55"/>
    <mergeCell ref="C56:D56"/>
    <mergeCell ref="B61:E61"/>
    <mergeCell ref="B62:E62"/>
    <mergeCell ref="C63:D63"/>
    <mergeCell ref="C64:D64"/>
    <mergeCell ref="C48:D48"/>
    <mergeCell ref="C13:E13"/>
    <mergeCell ref="B14:E14"/>
    <mergeCell ref="D15:E15"/>
    <mergeCell ref="D16:E16"/>
    <mergeCell ref="D17:E17"/>
    <mergeCell ref="D18:E18"/>
    <mergeCell ref="D19:E19"/>
    <mergeCell ref="B20:E20"/>
    <mergeCell ref="B29:E29"/>
    <mergeCell ref="B45:C45"/>
    <mergeCell ref="C47:D47"/>
    <mergeCell ref="D12:E12"/>
    <mergeCell ref="B1:E1"/>
    <mergeCell ref="B2:E2"/>
    <mergeCell ref="B3:E3"/>
    <mergeCell ref="B4:E4"/>
    <mergeCell ref="B5:E5"/>
    <mergeCell ref="D6:E6"/>
    <mergeCell ref="D7:E7"/>
    <mergeCell ref="D8:E8"/>
    <mergeCell ref="D9:E9"/>
    <mergeCell ref="B10:E10"/>
    <mergeCell ref="D11:E11"/>
  </mergeCells>
  <printOptions horizontalCentered="1" verticalCentered="1"/>
  <pageMargins left="0.70866141732283472" right="0.70866141732283472" top="0.74803149606299213" bottom="0.74803149606299213" header="0.31496062992125984" footer="0.31496062992125984"/>
  <pageSetup paperSize="9" scale="84" fitToHeight="0" orientation="portrait" r:id="rId1"/>
  <rowBreaks count="2" manualBreakCount="2">
    <brk id="45" max="5" man="1"/>
    <brk id="9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8</vt:i4>
      </vt:variant>
    </vt:vector>
  </HeadingPairs>
  <TitlesOfParts>
    <vt:vector size="17" baseType="lpstr">
      <vt:lpstr>ORIENTAÇÕES</vt:lpstr>
      <vt:lpstr>Uniformes</vt:lpstr>
      <vt:lpstr>Equipamentos</vt:lpstr>
      <vt:lpstr>Materiais</vt:lpstr>
      <vt:lpstr>Produtividade</vt:lpstr>
      <vt:lpstr>Salário-Encargos-Benefícios</vt:lpstr>
      <vt:lpstr>Encarregado</vt:lpstr>
      <vt:lpstr>Servente</vt:lpstr>
      <vt:lpstr>Jauzeiro</vt:lpstr>
      <vt:lpstr>Encarregado!Area_de_impressao</vt:lpstr>
      <vt:lpstr>Equipamentos!Area_de_impressao</vt:lpstr>
      <vt:lpstr>Jauzeiro!Area_de_impressao</vt:lpstr>
      <vt:lpstr>ORIENTAÇÕES!Area_de_impressao</vt:lpstr>
      <vt:lpstr>Produtividade!Area_de_impressao</vt:lpstr>
      <vt:lpstr>'Salário-Encargos-Benefícios'!Area_de_impressao</vt:lpstr>
      <vt:lpstr>Servente!Area_de_impressao</vt:lpstr>
      <vt:lpstr>Uniformes!Area_de_impressao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Regina Helena da Cruz Garcia</cp:lastModifiedBy>
  <cp:lastPrinted>2019-05-22T12:43:56Z</cp:lastPrinted>
  <dcterms:created xsi:type="dcterms:W3CDTF">2012-06-25T19:52:53Z</dcterms:created>
  <dcterms:modified xsi:type="dcterms:W3CDTF">2019-07-11T19:55:05Z</dcterms:modified>
</cp:coreProperties>
</file>